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1100" yWindow="-225" windowWidth="14040" windowHeight="11145" tabRatio="300"/>
  </bookViews>
  <sheets>
    <sheet name="Прод. прилож" sheetId="13" r:id="rId1"/>
  </sheets>
  <externalReferences>
    <externalReference r:id="rId2"/>
  </externalReferences>
  <definedNames>
    <definedName name="_xlnm._FilterDatabase" localSheetId="0" hidden="1">'Прод. прилож'!#REF!</definedName>
    <definedName name="_xlnm.Print_Titles" localSheetId="0">'Прод. прилож'!$7:$7</definedName>
    <definedName name="мп" localSheetId="0">#REF!</definedName>
    <definedName name="мп">#REF!</definedName>
    <definedName name="_xlnm.Print_Area" localSheetId="0">'Прод. прилож'!$A$1:$U$1115</definedName>
    <definedName name="Перечень" localSheetId="0">#REF!</definedName>
    <definedName name="Перечень">#REF!</definedName>
    <definedName name="Перечень2" localSheetId="0">#REF!</definedName>
    <definedName name="Перечень2">#REF!</definedName>
    <definedName name="Перечень3" localSheetId="0">#REF!</definedName>
    <definedName name="Перечень3">#REF!</definedName>
  </definedNames>
  <calcPr calcId="125725"/>
  <customWorkbookViews>
    <customWorkbookView name="Gorbachev - Личное представление" guid="{9872BAE3-55C4-497B-A21D-C80B61179128}" mergeInterval="0" personalView="1" maximized="1" xWindow="1" yWindow="1" windowWidth="1916" windowHeight="859" tabRatio="897" activeSheetId="1"/>
  </customWorkbookViews>
</workbook>
</file>

<file path=xl/calcChain.xml><?xml version="1.0" encoding="utf-8"?>
<calcChain xmlns="http://schemas.openxmlformats.org/spreadsheetml/2006/main">
  <c r="N334" i="13"/>
  <c r="N333" s="1"/>
  <c r="D334"/>
  <c r="D333" s="1"/>
  <c r="U333"/>
  <c r="T333"/>
  <c r="S333"/>
  <c r="R333"/>
  <c r="Q333"/>
  <c r="P333"/>
  <c r="O333"/>
  <c r="M333"/>
  <c r="L333"/>
  <c r="K333"/>
  <c r="J333"/>
  <c r="I333"/>
  <c r="H333"/>
  <c r="G333"/>
  <c r="F333"/>
  <c r="E333"/>
  <c r="C334" l="1"/>
  <c r="C333"/>
  <c r="C25" l="1"/>
  <c r="C24"/>
  <c r="C23"/>
  <c r="C22"/>
  <c r="C20"/>
  <c r="C19"/>
  <c r="C18"/>
  <c r="C17"/>
  <c r="U1113"/>
  <c r="T1113"/>
  <c r="S1113"/>
  <c r="R1113"/>
  <c r="Q1113"/>
  <c r="P1113"/>
  <c r="O1113"/>
  <c r="N1113"/>
  <c r="M1113"/>
  <c r="L1113"/>
  <c r="K1113"/>
  <c r="J1113"/>
  <c r="U1100"/>
  <c r="T1100"/>
  <c r="S1100"/>
  <c r="R1100"/>
  <c r="Q1100"/>
  <c r="P1100"/>
  <c r="O1100"/>
  <c r="N1100"/>
  <c r="M1100"/>
  <c r="L1100"/>
  <c r="K1100"/>
  <c r="J1100"/>
  <c r="U1098"/>
  <c r="T1098"/>
  <c r="S1098"/>
  <c r="Q1098"/>
  <c r="P1098"/>
  <c r="O1098"/>
  <c r="N1098"/>
  <c r="M1098"/>
  <c r="L1098"/>
  <c r="K1098"/>
  <c r="J1098"/>
  <c r="U1095"/>
  <c r="T1095"/>
  <c r="S1095"/>
  <c r="Q1095"/>
  <c r="P1095"/>
  <c r="O1095"/>
  <c r="M1095"/>
  <c r="L1095"/>
  <c r="K1095"/>
  <c r="J1095"/>
  <c r="I1095"/>
  <c r="H1095"/>
  <c r="G1095"/>
  <c r="F1095"/>
  <c r="E1095"/>
  <c r="U1093"/>
  <c r="T1093"/>
  <c r="S1093"/>
  <c r="R1093"/>
  <c r="Q1093"/>
  <c r="P1093"/>
  <c r="O1093"/>
  <c r="N1093"/>
  <c r="M1093"/>
  <c r="L1093"/>
  <c r="K1093"/>
  <c r="J1093"/>
  <c r="U1091"/>
  <c r="T1091"/>
  <c r="S1091"/>
  <c r="R1091"/>
  <c r="Q1091"/>
  <c r="P1091"/>
  <c r="O1091"/>
  <c r="N1091"/>
  <c r="M1091"/>
  <c r="L1091"/>
  <c r="K1091"/>
  <c r="J1091"/>
  <c r="U1089"/>
  <c r="T1089"/>
  <c r="S1089"/>
  <c r="R1089"/>
  <c r="Q1089"/>
  <c r="P1089"/>
  <c r="O1089"/>
  <c r="N1089"/>
  <c r="M1089"/>
  <c r="L1089"/>
  <c r="K1089"/>
  <c r="J1089"/>
  <c r="I1089"/>
  <c r="H1089"/>
  <c r="G1089"/>
  <c r="F1089"/>
  <c r="E1089"/>
  <c r="U1086"/>
  <c r="T1086"/>
  <c r="S1086"/>
  <c r="R1086"/>
  <c r="Q1086"/>
  <c r="P1086"/>
  <c r="O1086"/>
  <c r="N1086"/>
  <c r="M1086"/>
  <c r="L1086"/>
  <c r="K1086"/>
  <c r="J1086"/>
  <c r="I1086"/>
  <c r="H1086"/>
  <c r="G1086"/>
  <c r="F1086"/>
  <c r="U1082"/>
  <c r="T1082"/>
  <c r="S1082"/>
  <c r="R1082"/>
  <c r="Q1082"/>
  <c r="P1082"/>
  <c r="O1082"/>
  <c r="N1082"/>
  <c r="M1082"/>
  <c r="L1082"/>
  <c r="K1082"/>
  <c r="J1082"/>
  <c r="U1078"/>
  <c r="T1078"/>
  <c r="S1078"/>
  <c r="R1078"/>
  <c r="Q1078"/>
  <c r="P1078"/>
  <c r="O1078"/>
  <c r="N1078"/>
  <c r="M1078"/>
  <c r="L1078"/>
  <c r="K1078"/>
  <c r="J1078"/>
  <c r="U1075"/>
  <c r="T1075"/>
  <c r="S1075"/>
  <c r="R1075"/>
  <c r="Q1075"/>
  <c r="P1075"/>
  <c r="O1075"/>
  <c r="N1075"/>
  <c r="M1075"/>
  <c r="L1075"/>
  <c r="K1075"/>
  <c r="J1075"/>
  <c r="U1073"/>
  <c r="T1073"/>
  <c r="S1073"/>
  <c r="R1073"/>
  <c r="Q1073"/>
  <c r="P1073"/>
  <c r="O1073"/>
  <c r="N1073"/>
  <c r="M1073"/>
  <c r="L1073"/>
  <c r="K1073"/>
  <c r="J1073"/>
  <c r="U1071"/>
  <c r="T1071"/>
  <c r="S1071"/>
  <c r="R1071"/>
  <c r="Q1071"/>
  <c r="P1071"/>
  <c r="O1071"/>
  <c r="N1071"/>
  <c r="M1071"/>
  <c r="L1071"/>
  <c r="K1071"/>
  <c r="U1069"/>
  <c r="T1069"/>
  <c r="S1069"/>
  <c r="R1069"/>
  <c r="Q1069"/>
  <c r="P1069"/>
  <c r="O1069"/>
  <c r="N1069"/>
  <c r="M1069"/>
  <c r="L1069"/>
  <c r="K1069"/>
  <c r="U898"/>
  <c r="T898"/>
  <c r="S898"/>
  <c r="Q898"/>
  <c r="P898"/>
  <c r="O898"/>
  <c r="M898"/>
  <c r="K898"/>
  <c r="J898"/>
  <c r="U895"/>
  <c r="T895"/>
  <c r="S895"/>
  <c r="R895"/>
  <c r="Q895"/>
  <c r="P895"/>
  <c r="O895"/>
  <c r="N895"/>
  <c r="M895"/>
  <c r="L895"/>
  <c r="K895"/>
  <c r="J895"/>
  <c r="U892"/>
  <c r="T892"/>
  <c r="S892"/>
  <c r="R892"/>
  <c r="Q892"/>
  <c r="P892"/>
  <c r="O892"/>
  <c r="N892"/>
  <c r="M892"/>
  <c r="L892"/>
  <c r="K892"/>
  <c r="U881"/>
  <c r="T881"/>
  <c r="S881"/>
  <c r="R881"/>
  <c r="Q881"/>
  <c r="P881"/>
  <c r="O881"/>
  <c r="M881"/>
  <c r="L881"/>
  <c r="K881"/>
  <c r="U879"/>
  <c r="T879"/>
  <c r="S879"/>
  <c r="R879"/>
  <c r="Q879"/>
  <c r="P879"/>
  <c r="O879"/>
  <c r="N879"/>
  <c r="M879"/>
  <c r="L879"/>
  <c r="K879"/>
  <c r="U874"/>
  <c r="T874"/>
  <c r="S874"/>
  <c r="R874"/>
  <c r="Q874"/>
  <c r="P874"/>
  <c r="O874"/>
  <c r="N874"/>
  <c r="M874"/>
  <c r="L874"/>
  <c r="K874"/>
  <c r="F874"/>
  <c r="U870"/>
  <c r="T870"/>
  <c r="S870"/>
  <c r="R870"/>
  <c r="Q870"/>
  <c r="P870"/>
  <c r="O870"/>
  <c r="N870"/>
  <c r="M870"/>
  <c r="L870"/>
  <c r="K870"/>
  <c r="J870"/>
  <c r="U854"/>
  <c r="T854"/>
  <c r="Q854"/>
  <c r="O854"/>
  <c r="M854"/>
  <c r="L854"/>
  <c r="K854"/>
  <c r="U852"/>
  <c r="T852"/>
  <c r="S852"/>
  <c r="R852"/>
  <c r="Q852"/>
  <c r="P852"/>
  <c r="O852"/>
  <c r="N852"/>
  <c r="M852"/>
  <c r="L852"/>
  <c r="K852"/>
  <c r="J852"/>
  <c r="I852"/>
  <c r="H852"/>
  <c r="G852"/>
  <c r="F852"/>
  <c r="E852"/>
  <c r="U847"/>
  <c r="T847"/>
  <c r="S847"/>
  <c r="R847"/>
  <c r="Q847"/>
  <c r="P847"/>
  <c r="O847"/>
  <c r="N847"/>
  <c r="M847"/>
  <c r="L847"/>
  <c r="K847"/>
  <c r="J847"/>
  <c r="U845"/>
  <c r="T845"/>
  <c r="S845"/>
  <c r="R845"/>
  <c r="Q845"/>
  <c r="P845"/>
  <c r="O845"/>
  <c r="N845"/>
  <c r="M845"/>
  <c r="L845"/>
  <c r="K845"/>
  <c r="J845"/>
  <c r="U843"/>
  <c r="T843"/>
  <c r="S843"/>
  <c r="R843"/>
  <c r="Q843"/>
  <c r="P843"/>
  <c r="O843"/>
  <c r="N843"/>
  <c r="M843"/>
  <c r="L843"/>
  <c r="K843"/>
  <c r="J843"/>
  <c r="I843"/>
  <c r="H843"/>
  <c r="G843"/>
  <c r="F843"/>
  <c r="E843"/>
  <c r="U841"/>
  <c r="T841"/>
  <c r="S841"/>
  <c r="R841"/>
  <c r="Q841"/>
  <c r="P841"/>
  <c r="O841"/>
  <c r="N841"/>
  <c r="M841"/>
  <c r="L841"/>
  <c r="K841"/>
  <c r="J841"/>
  <c r="I841"/>
  <c r="H841"/>
  <c r="G841"/>
  <c r="F841"/>
  <c r="E841"/>
  <c r="U839"/>
  <c r="T839"/>
  <c r="S839"/>
  <c r="R839"/>
  <c r="Q839"/>
  <c r="P839"/>
  <c r="O839"/>
  <c r="N839"/>
  <c r="M839"/>
  <c r="L839"/>
  <c r="K839"/>
  <c r="J839"/>
  <c r="U837"/>
  <c r="T837"/>
  <c r="S837"/>
  <c r="R837"/>
  <c r="Q837"/>
  <c r="P837"/>
  <c r="O837"/>
  <c r="N837"/>
  <c r="M837"/>
  <c r="L837"/>
  <c r="K837"/>
  <c r="J837"/>
  <c r="I837"/>
  <c r="H837"/>
  <c r="G837"/>
  <c r="F837"/>
  <c r="E837"/>
  <c r="U834"/>
  <c r="T834"/>
  <c r="S834"/>
  <c r="R834"/>
  <c r="Q834"/>
  <c r="P834"/>
  <c r="O834"/>
  <c r="N834"/>
  <c r="M834"/>
  <c r="L834"/>
  <c r="K834"/>
  <c r="J834"/>
  <c r="I834"/>
  <c r="H834"/>
  <c r="G834"/>
  <c r="F834"/>
  <c r="E834"/>
  <c r="U832"/>
  <c r="T832"/>
  <c r="S832"/>
  <c r="R832"/>
  <c r="Q832"/>
  <c r="P832"/>
  <c r="O832"/>
  <c r="N832"/>
  <c r="M832"/>
  <c r="L832"/>
  <c r="K832"/>
  <c r="J832"/>
  <c r="I832"/>
  <c r="H832"/>
  <c r="G832"/>
  <c r="F832"/>
  <c r="E832"/>
  <c r="U828"/>
  <c r="T828"/>
  <c r="S828"/>
  <c r="R828"/>
  <c r="Q828"/>
  <c r="P828"/>
  <c r="O828"/>
  <c r="M828"/>
  <c r="L828"/>
  <c r="K828"/>
  <c r="J828"/>
  <c r="I828"/>
  <c r="H828"/>
  <c r="G828"/>
  <c r="F828"/>
  <c r="E828"/>
  <c r="U826"/>
  <c r="T826"/>
  <c r="S826"/>
  <c r="R826"/>
  <c r="Q826"/>
  <c r="P826"/>
  <c r="O826"/>
  <c r="N826"/>
  <c r="M826"/>
  <c r="L826"/>
  <c r="K826"/>
  <c r="J826"/>
  <c r="I826"/>
  <c r="H826"/>
  <c r="G826"/>
  <c r="F826"/>
  <c r="E826"/>
  <c r="U821"/>
  <c r="T821"/>
  <c r="S821"/>
  <c r="R821"/>
  <c r="Q821"/>
  <c r="P821"/>
  <c r="O821"/>
  <c r="N821"/>
  <c r="M821"/>
  <c r="L821"/>
  <c r="K821"/>
  <c r="J821"/>
  <c r="I821"/>
  <c r="H821"/>
  <c r="G821"/>
  <c r="F821"/>
  <c r="E821"/>
  <c r="U818"/>
  <c r="T818"/>
  <c r="S818"/>
  <c r="R818"/>
  <c r="Q818"/>
  <c r="P818"/>
  <c r="O818"/>
  <c r="N818"/>
  <c r="M818"/>
  <c r="L818"/>
  <c r="K818"/>
  <c r="J818"/>
  <c r="I818"/>
  <c r="H818"/>
  <c r="G818"/>
  <c r="F818"/>
  <c r="E818"/>
  <c r="U816"/>
  <c r="T816"/>
  <c r="S816"/>
  <c r="R816"/>
  <c r="Q816"/>
  <c r="P816"/>
  <c r="O816"/>
  <c r="N816"/>
  <c r="M816"/>
  <c r="L816"/>
  <c r="K816"/>
  <c r="J816"/>
  <c r="I816"/>
  <c r="H816"/>
  <c r="G816"/>
  <c r="F816"/>
  <c r="E816"/>
  <c r="U812"/>
  <c r="T812"/>
  <c r="S812"/>
  <c r="R812"/>
  <c r="Q812"/>
  <c r="P812"/>
  <c r="O812"/>
  <c r="N812"/>
  <c r="M812"/>
  <c r="L812"/>
  <c r="K812"/>
  <c r="U809"/>
  <c r="T809"/>
  <c r="S809"/>
  <c r="R809"/>
  <c r="Q809"/>
  <c r="P809"/>
  <c r="O809"/>
  <c r="N809"/>
  <c r="M809"/>
  <c r="L809"/>
  <c r="K809"/>
  <c r="J809"/>
  <c r="I809"/>
  <c r="H809"/>
  <c r="G809"/>
  <c r="F809"/>
  <c r="E809"/>
  <c r="U806"/>
  <c r="T806"/>
  <c r="S806"/>
  <c r="R806"/>
  <c r="Q806"/>
  <c r="P806"/>
  <c r="O806"/>
  <c r="N806"/>
  <c r="M806"/>
  <c r="L806"/>
  <c r="K806"/>
  <c r="U802"/>
  <c r="T802"/>
  <c r="S802"/>
  <c r="R802"/>
  <c r="Q802"/>
  <c r="P802"/>
  <c r="O802"/>
  <c r="M802"/>
  <c r="L802"/>
  <c r="K802"/>
  <c r="J802"/>
  <c r="I802"/>
  <c r="H802"/>
  <c r="G802"/>
  <c r="F802"/>
  <c r="E802"/>
  <c r="U799"/>
  <c r="T799"/>
  <c r="S799"/>
  <c r="Q799"/>
  <c r="P799"/>
  <c r="O799"/>
  <c r="M799"/>
  <c r="L799"/>
  <c r="K799"/>
  <c r="J799"/>
  <c r="U778"/>
  <c r="T778"/>
  <c r="S778"/>
  <c r="Q778"/>
  <c r="P778"/>
  <c r="O778"/>
  <c r="M778"/>
  <c r="L778"/>
  <c r="K778"/>
  <c r="J778"/>
  <c r="U775"/>
  <c r="T775"/>
  <c r="S775"/>
  <c r="R775"/>
  <c r="Q775"/>
  <c r="P775"/>
  <c r="O775"/>
  <c r="N775"/>
  <c r="M775"/>
  <c r="L775"/>
  <c r="K775"/>
  <c r="J775"/>
  <c r="I775"/>
  <c r="H775"/>
  <c r="G775"/>
  <c r="F775"/>
  <c r="E775"/>
  <c r="U771"/>
  <c r="T771"/>
  <c r="S771"/>
  <c r="R771"/>
  <c r="Q771"/>
  <c r="P771"/>
  <c r="O771"/>
  <c r="N771"/>
  <c r="M771"/>
  <c r="L771"/>
  <c r="K771"/>
  <c r="J771"/>
  <c r="U757"/>
  <c r="T757"/>
  <c r="S757"/>
  <c r="R757"/>
  <c r="Q757"/>
  <c r="P757"/>
  <c r="O757"/>
  <c r="N757"/>
  <c r="M757"/>
  <c r="L757"/>
  <c r="K757"/>
  <c r="J757"/>
  <c r="U755"/>
  <c r="T755"/>
  <c r="S755"/>
  <c r="R755"/>
  <c r="Q755"/>
  <c r="P755"/>
  <c r="O755"/>
  <c r="N755"/>
  <c r="M755"/>
  <c r="L755"/>
  <c r="K755"/>
  <c r="J755"/>
  <c r="I755"/>
  <c r="H755"/>
  <c r="G755"/>
  <c r="F755"/>
  <c r="E755"/>
  <c r="U753"/>
  <c r="T753"/>
  <c r="S753"/>
  <c r="R753"/>
  <c r="Q753"/>
  <c r="P753"/>
  <c r="O753"/>
  <c r="N753"/>
  <c r="M753"/>
  <c r="L753"/>
  <c r="K753"/>
  <c r="J753"/>
  <c r="I753"/>
  <c r="H753"/>
  <c r="G753"/>
  <c r="F753"/>
  <c r="E753"/>
  <c r="U749"/>
  <c r="T749"/>
  <c r="S749"/>
  <c r="R749"/>
  <c r="Q749"/>
  <c r="P749"/>
  <c r="O749"/>
  <c r="M749"/>
  <c r="L749"/>
  <c r="K749"/>
  <c r="J749"/>
  <c r="U747"/>
  <c r="T747"/>
  <c r="S747"/>
  <c r="R747"/>
  <c r="Q747"/>
  <c r="P747"/>
  <c r="O747"/>
  <c r="N747"/>
  <c r="M747"/>
  <c r="L747"/>
  <c r="K747"/>
  <c r="J747"/>
  <c r="U743"/>
  <c r="T743"/>
  <c r="S743"/>
  <c r="Q743"/>
  <c r="P743"/>
  <c r="O743"/>
  <c r="M743"/>
  <c r="L743"/>
  <c r="K743"/>
  <c r="J743"/>
  <c r="I743"/>
  <c r="H743"/>
  <c r="G743"/>
  <c r="F743"/>
  <c r="U741"/>
  <c r="T741"/>
  <c r="S741"/>
  <c r="R741"/>
  <c r="Q741"/>
  <c r="P741"/>
  <c r="O741"/>
  <c r="N741"/>
  <c r="M741"/>
  <c r="L741"/>
  <c r="K741"/>
  <c r="J741"/>
  <c r="I741"/>
  <c r="H741"/>
  <c r="G741"/>
  <c r="F741"/>
  <c r="U731"/>
  <c r="T731"/>
  <c r="S731"/>
  <c r="R731"/>
  <c r="Q731"/>
  <c r="P731"/>
  <c r="O731"/>
  <c r="M731"/>
  <c r="L731"/>
  <c r="K731"/>
  <c r="J731"/>
  <c r="U728"/>
  <c r="T728"/>
  <c r="S728"/>
  <c r="R728"/>
  <c r="Q728"/>
  <c r="P728"/>
  <c r="O728"/>
  <c r="N728"/>
  <c r="M728"/>
  <c r="L728"/>
  <c r="K728"/>
  <c r="J728"/>
  <c r="U726"/>
  <c r="T726"/>
  <c r="S726"/>
  <c r="Q726"/>
  <c r="P726"/>
  <c r="O726"/>
  <c r="M726"/>
  <c r="L726"/>
  <c r="K726"/>
  <c r="J726"/>
  <c r="H726"/>
  <c r="U722"/>
  <c r="T722"/>
  <c r="S722"/>
  <c r="Q722"/>
  <c r="P722"/>
  <c r="O722"/>
  <c r="M722"/>
  <c r="L722"/>
  <c r="K722"/>
  <c r="J722"/>
  <c r="U515"/>
  <c r="T515"/>
  <c r="S515"/>
  <c r="Q515"/>
  <c r="P515"/>
  <c r="O515"/>
  <c r="M515"/>
  <c r="K515"/>
  <c r="U513"/>
  <c r="T513"/>
  <c r="S513"/>
  <c r="R513"/>
  <c r="Q513"/>
  <c r="P513"/>
  <c r="O513"/>
  <c r="N513"/>
  <c r="M513"/>
  <c r="L513"/>
  <c r="K513"/>
  <c r="U510"/>
  <c r="T510"/>
  <c r="S510"/>
  <c r="R510"/>
  <c r="Q510"/>
  <c r="P510"/>
  <c r="O510"/>
  <c r="N510"/>
  <c r="M510"/>
  <c r="L510"/>
  <c r="K510"/>
  <c r="J510"/>
  <c r="I510"/>
  <c r="H510"/>
  <c r="G510"/>
  <c r="F510"/>
  <c r="E510"/>
  <c r="U508"/>
  <c r="T508"/>
  <c r="S508"/>
  <c r="R508"/>
  <c r="Q508"/>
  <c r="P508"/>
  <c r="O508"/>
  <c r="N508"/>
  <c r="M508"/>
  <c r="L508"/>
  <c r="K508"/>
  <c r="J508"/>
  <c r="I508"/>
  <c r="H508"/>
  <c r="G508"/>
  <c r="F508"/>
  <c r="E508"/>
  <c r="U492"/>
  <c r="T492"/>
  <c r="S492"/>
  <c r="Q492"/>
  <c r="P492"/>
  <c r="O492"/>
  <c r="M492"/>
  <c r="L492"/>
  <c r="K492"/>
  <c r="U490"/>
  <c r="T490"/>
  <c r="S490"/>
  <c r="R490"/>
  <c r="Q490"/>
  <c r="P490"/>
  <c r="O490"/>
  <c r="N490"/>
  <c r="M490"/>
  <c r="L490"/>
  <c r="K490"/>
  <c r="U488"/>
  <c r="T488"/>
  <c r="S488"/>
  <c r="Q488"/>
  <c r="P488"/>
  <c r="O488"/>
  <c r="M488"/>
  <c r="L488"/>
  <c r="K488"/>
  <c r="J488"/>
  <c r="I488"/>
  <c r="H488"/>
  <c r="G488"/>
  <c r="F488"/>
  <c r="E488"/>
  <c r="U479"/>
  <c r="T479"/>
  <c r="S479"/>
  <c r="Q479"/>
  <c r="P479"/>
  <c r="O479"/>
  <c r="M479"/>
  <c r="L479"/>
  <c r="K479"/>
  <c r="U469"/>
  <c r="T469"/>
  <c r="S469"/>
  <c r="Q469"/>
  <c r="P469"/>
  <c r="O469"/>
  <c r="M469"/>
  <c r="L469"/>
  <c r="K469"/>
  <c r="U467"/>
  <c r="T467"/>
  <c r="S467"/>
  <c r="R467"/>
  <c r="Q467"/>
  <c r="P467"/>
  <c r="O467"/>
  <c r="N467"/>
  <c r="M467"/>
  <c r="L467"/>
  <c r="K467"/>
  <c r="U447"/>
  <c r="T447"/>
  <c r="Q447"/>
  <c r="O447"/>
  <c r="M447"/>
  <c r="L447"/>
  <c r="K447"/>
  <c r="U445"/>
  <c r="T445"/>
  <c r="S445"/>
  <c r="R445"/>
  <c r="Q445"/>
  <c r="P445"/>
  <c r="O445"/>
  <c r="N445"/>
  <c r="M445"/>
  <c r="L445"/>
  <c r="K445"/>
  <c r="J445"/>
  <c r="I445"/>
  <c r="H445"/>
  <c r="G445"/>
  <c r="F445"/>
  <c r="E445"/>
  <c r="U438"/>
  <c r="T438"/>
  <c r="S438"/>
  <c r="R438"/>
  <c r="Q438"/>
  <c r="P438"/>
  <c r="O438"/>
  <c r="N438"/>
  <c r="M438"/>
  <c r="L438"/>
  <c r="K438"/>
  <c r="J438"/>
  <c r="I438"/>
  <c r="H438"/>
  <c r="G438"/>
  <c r="F438"/>
  <c r="E438"/>
  <c r="U435"/>
  <c r="T435"/>
  <c r="S435"/>
  <c r="R435"/>
  <c r="Q435"/>
  <c r="P435"/>
  <c r="O435"/>
  <c r="N435"/>
  <c r="M435"/>
  <c r="L435"/>
  <c r="K435"/>
  <c r="J435"/>
  <c r="I435"/>
  <c r="H435"/>
  <c r="G435"/>
  <c r="F435"/>
  <c r="E435"/>
  <c r="U432"/>
  <c r="T432"/>
  <c r="S432"/>
  <c r="R432"/>
  <c r="Q432"/>
  <c r="P432"/>
  <c r="O432"/>
  <c r="M432"/>
  <c r="L432"/>
  <c r="K432"/>
  <c r="J432"/>
  <c r="I432"/>
  <c r="H432"/>
  <c r="G432"/>
  <c r="F432"/>
  <c r="E432"/>
  <c r="U428"/>
  <c r="T428"/>
  <c r="S428"/>
  <c r="R428"/>
  <c r="Q428"/>
  <c r="P428"/>
  <c r="O428"/>
  <c r="M428"/>
  <c r="L428"/>
  <c r="K428"/>
  <c r="J428"/>
  <c r="I428"/>
  <c r="H428"/>
  <c r="G428"/>
  <c r="F428"/>
  <c r="E428"/>
  <c r="U425"/>
  <c r="T425"/>
  <c r="S425"/>
  <c r="R425"/>
  <c r="Q425"/>
  <c r="P425"/>
  <c r="O425"/>
  <c r="N425"/>
  <c r="M425"/>
  <c r="L425"/>
  <c r="K425"/>
  <c r="J425"/>
  <c r="I425"/>
  <c r="H425"/>
  <c r="G425"/>
  <c r="F425"/>
  <c r="E425"/>
  <c r="U422"/>
  <c r="T422"/>
  <c r="S422"/>
  <c r="R422"/>
  <c r="Q422"/>
  <c r="P422"/>
  <c r="O422"/>
  <c r="M422"/>
  <c r="L422"/>
  <c r="K422"/>
  <c r="J422"/>
  <c r="I422"/>
  <c r="H422"/>
  <c r="G422"/>
  <c r="F422"/>
  <c r="E422"/>
  <c r="U420"/>
  <c r="T420"/>
  <c r="S420"/>
  <c r="R420"/>
  <c r="Q420"/>
  <c r="P420"/>
  <c r="O420"/>
  <c r="N420"/>
  <c r="M420"/>
  <c r="L420"/>
  <c r="K420"/>
  <c r="J420"/>
  <c r="U417"/>
  <c r="T417"/>
  <c r="S417"/>
  <c r="R417"/>
  <c r="Q417"/>
  <c r="P417"/>
  <c r="O417"/>
  <c r="N417"/>
  <c r="M417"/>
  <c r="L417"/>
  <c r="K417"/>
  <c r="J417"/>
  <c r="I417"/>
  <c r="H417"/>
  <c r="G417"/>
  <c r="F417"/>
  <c r="E417"/>
  <c r="U415"/>
  <c r="T415"/>
  <c r="S415"/>
  <c r="R415"/>
  <c r="Q415"/>
  <c r="P415"/>
  <c r="O415"/>
  <c r="N415"/>
  <c r="M415"/>
  <c r="L415"/>
  <c r="K415"/>
  <c r="J415"/>
  <c r="H415"/>
  <c r="F415"/>
  <c r="U413"/>
  <c r="T413"/>
  <c r="S413"/>
  <c r="R413"/>
  <c r="Q413"/>
  <c r="P413"/>
  <c r="O413"/>
  <c r="N413"/>
  <c r="M413"/>
  <c r="L413"/>
  <c r="K413"/>
  <c r="J413"/>
  <c r="I413"/>
  <c r="H413"/>
  <c r="G413"/>
  <c r="F413"/>
  <c r="E413"/>
  <c r="U405"/>
  <c r="T405"/>
  <c r="S405"/>
  <c r="Q405"/>
  <c r="P405"/>
  <c r="O405"/>
  <c r="M405"/>
  <c r="L405"/>
  <c r="K405"/>
  <c r="J405"/>
  <c r="U401"/>
  <c r="T401"/>
  <c r="S401"/>
  <c r="R401"/>
  <c r="Q401"/>
  <c r="P401"/>
  <c r="O401"/>
  <c r="N401"/>
  <c r="M401"/>
  <c r="L401"/>
  <c r="K401"/>
  <c r="J401"/>
  <c r="I401"/>
  <c r="H401"/>
  <c r="G401"/>
  <c r="F401"/>
  <c r="E401"/>
  <c r="U399"/>
  <c r="T399"/>
  <c r="S399"/>
  <c r="R399"/>
  <c r="Q399"/>
  <c r="P399"/>
  <c r="O399"/>
  <c r="N399"/>
  <c r="M399"/>
  <c r="L399"/>
  <c r="K399"/>
  <c r="I399"/>
  <c r="G399"/>
  <c r="F399"/>
  <c r="U396"/>
  <c r="T396"/>
  <c r="S396"/>
  <c r="R396"/>
  <c r="Q396"/>
  <c r="P396"/>
  <c r="O396"/>
  <c r="N396"/>
  <c r="M396"/>
  <c r="L396"/>
  <c r="K396"/>
  <c r="J396"/>
  <c r="I396"/>
  <c r="H396"/>
  <c r="G396"/>
  <c r="F396"/>
  <c r="E396"/>
  <c r="U394"/>
  <c r="T394"/>
  <c r="S394"/>
  <c r="R394"/>
  <c r="Q394"/>
  <c r="P394"/>
  <c r="O394"/>
  <c r="N394"/>
  <c r="M394"/>
  <c r="L394"/>
  <c r="K394"/>
  <c r="I394"/>
  <c r="H394"/>
  <c r="G394"/>
  <c r="F394"/>
  <c r="U390"/>
  <c r="T390"/>
  <c r="S390"/>
  <c r="R390"/>
  <c r="Q390"/>
  <c r="P390"/>
  <c r="O390"/>
  <c r="N390"/>
  <c r="M390"/>
  <c r="L390"/>
  <c r="K390"/>
  <c r="U385"/>
  <c r="T385"/>
  <c r="S385"/>
  <c r="R385"/>
  <c r="Q385"/>
  <c r="P385"/>
  <c r="O385"/>
  <c r="N385"/>
  <c r="M385"/>
  <c r="L385"/>
  <c r="K385"/>
  <c r="U383"/>
  <c r="T383"/>
  <c r="S383"/>
  <c r="R383"/>
  <c r="Q383"/>
  <c r="P383"/>
  <c r="O383"/>
  <c r="N383"/>
  <c r="M383"/>
  <c r="L383"/>
  <c r="K383"/>
  <c r="J383"/>
  <c r="I383"/>
  <c r="H383"/>
  <c r="G383"/>
  <c r="F383"/>
  <c r="E383"/>
  <c r="U362"/>
  <c r="T362"/>
  <c r="S362"/>
  <c r="R362"/>
  <c r="Q362"/>
  <c r="P362"/>
  <c r="O362"/>
  <c r="M362"/>
  <c r="K362"/>
  <c r="U359"/>
  <c r="T359"/>
  <c r="S359"/>
  <c r="R359"/>
  <c r="Q359"/>
  <c r="P359"/>
  <c r="O359"/>
  <c r="N359"/>
  <c r="M359"/>
  <c r="L359"/>
  <c r="K359"/>
  <c r="U342"/>
  <c r="T342"/>
  <c r="S342"/>
  <c r="Q342"/>
  <c r="P342"/>
  <c r="O342"/>
  <c r="N342"/>
  <c r="M342"/>
  <c r="L342"/>
  <c r="K342"/>
  <c r="J342"/>
  <c r="I342"/>
  <c r="H342"/>
  <c r="G342"/>
  <c r="F342"/>
  <c r="E342"/>
  <c r="U340"/>
  <c r="T340"/>
  <c r="S340"/>
  <c r="R340"/>
  <c r="Q340"/>
  <c r="P340"/>
  <c r="O340"/>
  <c r="M340"/>
  <c r="L340"/>
  <c r="K340"/>
  <c r="J340"/>
  <c r="I340"/>
  <c r="H340"/>
  <c r="G340"/>
  <c r="F340"/>
  <c r="E340"/>
  <c r="U338"/>
  <c r="T338"/>
  <c r="S338"/>
  <c r="R338"/>
  <c r="Q338"/>
  <c r="P338"/>
  <c r="O338"/>
  <c r="N338"/>
  <c r="M338"/>
  <c r="L338"/>
  <c r="K338"/>
  <c r="U335"/>
  <c r="T335"/>
  <c r="S335"/>
  <c r="R335"/>
  <c r="Q335"/>
  <c r="P335"/>
  <c r="O335"/>
  <c r="M335"/>
  <c r="L335"/>
  <c r="K335"/>
  <c r="J335"/>
  <c r="I335"/>
  <c r="H335"/>
  <c r="G335"/>
  <c r="U331"/>
  <c r="T331"/>
  <c r="S331"/>
  <c r="R331"/>
  <c r="Q331"/>
  <c r="P331"/>
  <c r="O331"/>
  <c r="N331"/>
  <c r="M331"/>
  <c r="L331"/>
  <c r="K331"/>
  <c r="J331"/>
  <c r="I331"/>
  <c r="H331"/>
  <c r="G331"/>
  <c r="F331"/>
  <c r="E331"/>
  <c r="U328"/>
  <c r="T328"/>
  <c r="S328"/>
  <c r="R328"/>
  <c r="Q328"/>
  <c r="P328"/>
  <c r="O328"/>
  <c r="N328"/>
  <c r="M328"/>
  <c r="L328"/>
  <c r="K328"/>
  <c r="J328"/>
  <c r="I328"/>
  <c r="H328"/>
  <c r="G328"/>
  <c r="F328"/>
  <c r="E328"/>
  <c r="U326"/>
  <c r="T326"/>
  <c r="S326"/>
  <c r="Q326"/>
  <c r="P326"/>
  <c r="O326"/>
  <c r="M326"/>
  <c r="L326"/>
  <c r="K326"/>
  <c r="J326"/>
  <c r="I326"/>
  <c r="H326"/>
  <c r="G326"/>
  <c r="F326"/>
  <c r="U324"/>
  <c r="T324"/>
  <c r="S324"/>
  <c r="R324"/>
  <c r="Q324"/>
  <c r="P324"/>
  <c r="O324"/>
  <c r="N324"/>
  <c r="M324"/>
  <c r="L324"/>
  <c r="K324"/>
  <c r="J324"/>
  <c r="I324"/>
  <c r="H324"/>
  <c r="G324"/>
  <c r="F324"/>
  <c r="E324"/>
  <c r="U320"/>
  <c r="T320"/>
  <c r="S320"/>
  <c r="Q320"/>
  <c r="P320"/>
  <c r="O320"/>
  <c r="M320"/>
  <c r="L320"/>
  <c r="K320"/>
  <c r="U316"/>
  <c r="T316"/>
  <c r="S316"/>
  <c r="R316"/>
  <c r="Q316"/>
  <c r="P316"/>
  <c r="O316"/>
  <c r="N316"/>
  <c r="M316"/>
  <c r="L316"/>
  <c r="K316"/>
  <c r="J316"/>
  <c r="I316"/>
  <c r="H316"/>
  <c r="G316"/>
  <c r="F316"/>
  <c r="E316"/>
  <c r="U313"/>
  <c r="T313"/>
  <c r="S313"/>
  <c r="Q313"/>
  <c r="P313"/>
  <c r="O313"/>
  <c r="M313"/>
  <c r="L313"/>
  <c r="K313"/>
  <c r="U311"/>
  <c r="T311"/>
  <c r="S311"/>
  <c r="R311"/>
  <c r="Q311"/>
  <c r="P311"/>
  <c r="O311"/>
  <c r="N311"/>
  <c r="M311"/>
  <c r="L311"/>
  <c r="K311"/>
  <c r="J311"/>
  <c r="I311"/>
  <c r="H311"/>
  <c r="G311"/>
  <c r="F311"/>
  <c r="E311"/>
  <c r="U306"/>
  <c r="T306"/>
  <c r="S306"/>
  <c r="R306"/>
  <c r="Q306"/>
  <c r="P306"/>
  <c r="O306"/>
  <c r="N306"/>
  <c r="M306"/>
  <c r="L306"/>
  <c r="K306"/>
  <c r="H306"/>
  <c r="U137"/>
  <c r="T137"/>
  <c r="S137"/>
  <c r="Q137"/>
  <c r="O137"/>
  <c r="M137"/>
  <c r="K137"/>
  <c r="U135"/>
  <c r="T135"/>
  <c r="S135"/>
  <c r="R135"/>
  <c r="Q135"/>
  <c r="P135"/>
  <c r="O135"/>
  <c r="N135"/>
  <c r="M135"/>
  <c r="L135"/>
  <c r="K135"/>
  <c r="U133"/>
  <c r="T133"/>
  <c r="S133"/>
  <c r="Q133"/>
  <c r="P133"/>
  <c r="O133"/>
  <c r="M133"/>
  <c r="L133"/>
  <c r="K133"/>
  <c r="U131"/>
  <c r="T131"/>
  <c r="S131"/>
  <c r="R131"/>
  <c r="Q131"/>
  <c r="P131"/>
  <c r="O131"/>
  <c r="M131"/>
  <c r="L131"/>
  <c r="K131"/>
  <c r="J131"/>
  <c r="I131"/>
  <c r="H131"/>
  <c r="G131"/>
  <c r="F131"/>
  <c r="E131"/>
  <c r="U121"/>
  <c r="T121"/>
  <c r="S121"/>
  <c r="Q121"/>
  <c r="P121"/>
  <c r="O121"/>
  <c r="M121"/>
  <c r="L121"/>
  <c r="K121"/>
  <c r="U113"/>
  <c r="T113"/>
  <c r="S113"/>
  <c r="R113"/>
  <c r="Q113"/>
  <c r="P113"/>
  <c r="O113"/>
  <c r="M113"/>
  <c r="L113"/>
  <c r="K113"/>
  <c r="U106"/>
  <c r="T106"/>
  <c r="S106"/>
  <c r="R106"/>
  <c r="Q106"/>
  <c r="P106"/>
  <c r="O106"/>
  <c r="N106"/>
  <c r="M106"/>
  <c r="L106"/>
  <c r="K106"/>
  <c r="U103"/>
  <c r="T103"/>
  <c r="S103"/>
  <c r="R103"/>
  <c r="Q103"/>
  <c r="P103"/>
  <c r="O103"/>
  <c r="N103"/>
  <c r="M103"/>
  <c r="L103"/>
  <c r="K103"/>
  <c r="U83"/>
  <c r="T83"/>
  <c r="Q83"/>
  <c r="O83"/>
  <c r="M83"/>
  <c r="L83"/>
  <c r="K83"/>
  <c r="U81"/>
  <c r="T81"/>
  <c r="S81"/>
  <c r="R81"/>
  <c r="Q81"/>
  <c r="P81"/>
  <c r="O81"/>
  <c r="M81"/>
  <c r="L81"/>
  <c r="K81"/>
  <c r="J81"/>
  <c r="I81"/>
  <c r="H81"/>
  <c r="G81"/>
  <c r="F81"/>
  <c r="E81"/>
  <c r="U79"/>
  <c r="T79"/>
  <c r="S79"/>
  <c r="R79"/>
  <c r="Q79"/>
  <c r="P79"/>
  <c r="O79"/>
  <c r="M79"/>
  <c r="L79"/>
  <c r="K79"/>
  <c r="J79"/>
  <c r="I79"/>
  <c r="H79"/>
  <c r="G79"/>
  <c r="F79"/>
  <c r="E79"/>
  <c r="U76"/>
  <c r="T76"/>
  <c r="S76"/>
  <c r="R76"/>
  <c r="Q76"/>
  <c r="P76"/>
  <c r="O76"/>
  <c r="N76"/>
  <c r="M76"/>
  <c r="L76"/>
  <c r="K76"/>
  <c r="J76"/>
  <c r="I76"/>
  <c r="H76"/>
  <c r="G76"/>
  <c r="F76"/>
  <c r="E76"/>
  <c r="U74"/>
  <c r="T74"/>
  <c r="S74"/>
  <c r="R74"/>
  <c r="Q74"/>
  <c r="P74"/>
  <c r="O74"/>
  <c r="M74"/>
  <c r="L74"/>
  <c r="K74"/>
  <c r="U72"/>
  <c r="T72"/>
  <c r="S72"/>
  <c r="R72"/>
  <c r="Q72"/>
  <c r="P72"/>
  <c r="O72"/>
  <c r="N72"/>
  <c r="M72"/>
  <c r="L72"/>
  <c r="K72"/>
  <c r="J72"/>
  <c r="I72"/>
  <c r="H72"/>
  <c r="G72"/>
  <c r="F72"/>
  <c r="E72"/>
  <c r="U69"/>
  <c r="T69"/>
  <c r="S69"/>
  <c r="R69"/>
  <c r="Q69"/>
  <c r="P69"/>
  <c r="O69"/>
  <c r="N69"/>
  <c r="M69"/>
  <c r="L69"/>
  <c r="K69"/>
  <c r="J69"/>
  <c r="I69"/>
  <c r="H69"/>
  <c r="G69"/>
  <c r="F69"/>
  <c r="E69"/>
  <c r="U67"/>
  <c r="T67"/>
  <c r="S67"/>
  <c r="R67"/>
  <c r="Q67"/>
  <c r="P67"/>
  <c r="O67"/>
  <c r="N67"/>
  <c r="M67"/>
  <c r="L67"/>
  <c r="K67"/>
  <c r="J67"/>
  <c r="I67"/>
  <c r="H67"/>
  <c r="G67"/>
  <c r="F67"/>
  <c r="E67"/>
  <c r="U65"/>
  <c r="T65"/>
  <c r="S65"/>
  <c r="R65"/>
  <c r="Q65"/>
  <c r="P65"/>
  <c r="O65"/>
  <c r="M65"/>
  <c r="L65"/>
  <c r="K65"/>
  <c r="J65"/>
  <c r="I65"/>
  <c r="H65"/>
  <c r="G65"/>
  <c r="F65"/>
  <c r="E65"/>
  <c r="U61"/>
  <c r="T61"/>
  <c r="S61"/>
  <c r="Q61"/>
  <c r="P61"/>
  <c r="O61"/>
  <c r="M61"/>
  <c r="L61"/>
  <c r="K61"/>
  <c r="J61"/>
  <c r="I61"/>
  <c r="H61"/>
  <c r="G61"/>
  <c r="F61"/>
  <c r="E61"/>
  <c r="U59"/>
  <c r="T59"/>
  <c r="S59"/>
  <c r="R59"/>
  <c r="Q59"/>
  <c r="P59"/>
  <c r="O59"/>
  <c r="N59"/>
  <c r="M59"/>
  <c r="L59"/>
  <c r="K59"/>
  <c r="J59"/>
  <c r="I59"/>
  <c r="H59"/>
  <c r="G59"/>
  <c r="F59"/>
  <c r="E59"/>
  <c r="U56"/>
  <c r="T56"/>
  <c r="S56"/>
  <c r="Q56"/>
  <c r="P56"/>
  <c r="O56"/>
  <c r="M56"/>
  <c r="L56"/>
  <c r="K56"/>
  <c r="J56"/>
  <c r="I56"/>
  <c r="H56"/>
  <c r="G56"/>
  <c r="F56"/>
  <c r="E56"/>
  <c r="D1097"/>
  <c r="C1097" s="1"/>
  <c r="D1096"/>
  <c r="D1090"/>
  <c r="C1090" s="1"/>
  <c r="D1083"/>
  <c r="C1083" s="1"/>
  <c r="D1081"/>
  <c r="C1081" s="1"/>
  <c r="D1079"/>
  <c r="C1079" s="1"/>
  <c r="D1068"/>
  <c r="C1068" s="1"/>
  <c r="D1067"/>
  <c r="C1067" s="1"/>
  <c r="D1066"/>
  <c r="C1066" s="1"/>
  <c r="D1065"/>
  <c r="C1065" s="1"/>
  <c r="D1064"/>
  <c r="C1064" s="1"/>
  <c r="D1063"/>
  <c r="C1063" s="1"/>
  <c r="D1062"/>
  <c r="C1062" s="1"/>
  <c r="D1061"/>
  <c r="C1061" s="1"/>
  <c r="D1057"/>
  <c r="C1057" s="1"/>
  <c r="D1056"/>
  <c r="D1055"/>
  <c r="C1055" s="1"/>
  <c r="D1054"/>
  <c r="C1054" s="1"/>
  <c r="D1053"/>
  <c r="C1053" s="1"/>
  <c r="D1052"/>
  <c r="C1052" s="1"/>
  <c r="D1051"/>
  <c r="C1051" s="1"/>
  <c r="D1050"/>
  <c r="C1050" s="1"/>
  <c r="D1049"/>
  <c r="C1049" s="1"/>
  <c r="D1048"/>
  <c r="C1048" s="1"/>
  <c r="D1047"/>
  <c r="C1047" s="1"/>
  <c r="D1046"/>
  <c r="C1046" s="1"/>
  <c r="D1045"/>
  <c r="C1045" s="1"/>
  <c r="D1044"/>
  <c r="C1044" s="1"/>
  <c r="D1043"/>
  <c r="C1043" s="1"/>
  <c r="D1042"/>
  <c r="C1042" s="1"/>
  <c r="D1041"/>
  <c r="C1041" s="1"/>
  <c r="D1040"/>
  <c r="C1040" s="1"/>
  <c r="D1038"/>
  <c r="C1038" s="1"/>
  <c r="D1037"/>
  <c r="C1037" s="1"/>
  <c r="D1036"/>
  <c r="C1036" s="1"/>
  <c r="D1035"/>
  <c r="C1035" s="1"/>
  <c r="D1034"/>
  <c r="C1034" s="1"/>
  <c r="D1033"/>
  <c r="C1033" s="1"/>
  <c r="D1032"/>
  <c r="C1032" s="1"/>
  <c r="D1031"/>
  <c r="C1031" s="1"/>
  <c r="D1030"/>
  <c r="C1030" s="1"/>
  <c r="D1029"/>
  <c r="C1029" s="1"/>
  <c r="D1028"/>
  <c r="C1028" s="1"/>
  <c r="D1027"/>
  <c r="C1027" s="1"/>
  <c r="D1026"/>
  <c r="C1026" s="1"/>
  <c r="D1025"/>
  <c r="C1025" s="1"/>
  <c r="D1024"/>
  <c r="C1024" s="1"/>
  <c r="D1023"/>
  <c r="C1023" s="1"/>
  <c r="D1022"/>
  <c r="C1022" s="1"/>
  <c r="D1021"/>
  <c r="C1021" s="1"/>
  <c r="D1020"/>
  <c r="C1020" s="1"/>
  <c r="D1019"/>
  <c r="C1019" s="1"/>
  <c r="D1017"/>
  <c r="C1017" s="1"/>
  <c r="D1016"/>
  <c r="C1016" s="1"/>
  <c r="D1015"/>
  <c r="C1015" s="1"/>
  <c r="D1014"/>
  <c r="C1014" s="1"/>
  <c r="D1013"/>
  <c r="C1013" s="1"/>
  <c r="D1012"/>
  <c r="C1012" s="1"/>
  <c r="D1010"/>
  <c r="C1010" s="1"/>
  <c r="D1009"/>
  <c r="C1009" s="1"/>
  <c r="D1008"/>
  <c r="C1008" s="1"/>
  <c r="D1007"/>
  <c r="C1007" s="1"/>
  <c r="D1005"/>
  <c r="C1005" s="1"/>
  <c r="D1004"/>
  <c r="C1004" s="1"/>
  <c r="D1003"/>
  <c r="C1003" s="1"/>
  <c r="D1002"/>
  <c r="C1002" s="1"/>
  <c r="D1001"/>
  <c r="C1001" s="1"/>
  <c r="D1000"/>
  <c r="C1000" s="1"/>
  <c r="D999"/>
  <c r="C999" s="1"/>
  <c r="D998"/>
  <c r="C998" s="1"/>
  <c r="D997"/>
  <c r="C997" s="1"/>
  <c r="D996"/>
  <c r="C996" s="1"/>
  <c r="D995"/>
  <c r="C995" s="1"/>
  <c r="D994"/>
  <c r="C994" s="1"/>
  <c r="D993"/>
  <c r="C993" s="1"/>
  <c r="D992"/>
  <c r="C992" s="1"/>
  <c r="D991"/>
  <c r="C991" s="1"/>
  <c r="D990"/>
  <c r="C990" s="1"/>
  <c r="D989"/>
  <c r="C989" s="1"/>
  <c r="D988"/>
  <c r="C988" s="1"/>
  <c r="D987"/>
  <c r="C987" s="1"/>
  <c r="D986"/>
  <c r="C986" s="1"/>
  <c r="D984"/>
  <c r="C984" s="1"/>
  <c r="D983"/>
  <c r="C983" s="1"/>
  <c r="D982"/>
  <c r="C982" s="1"/>
  <c r="D981"/>
  <c r="C981" s="1"/>
  <c r="D980"/>
  <c r="C980" s="1"/>
  <c r="D977"/>
  <c r="C977" s="1"/>
  <c r="D976"/>
  <c r="C976" s="1"/>
  <c r="D975"/>
  <c r="C975" s="1"/>
  <c r="D974"/>
  <c r="C974" s="1"/>
  <c r="D973"/>
  <c r="C973" s="1"/>
  <c r="D972"/>
  <c r="C972" s="1"/>
  <c r="D971"/>
  <c r="C971" s="1"/>
  <c r="D970"/>
  <c r="C970" s="1"/>
  <c r="D969"/>
  <c r="C969" s="1"/>
  <c r="D968"/>
  <c r="C968" s="1"/>
  <c r="D967"/>
  <c r="C967" s="1"/>
  <c r="D966"/>
  <c r="C966" s="1"/>
  <c r="D965"/>
  <c r="C965" s="1"/>
  <c r="D964"/>
  <c r="D963"/>
  <c r="C963" s="1"/>
  <c r="D962"/>
  <c r="C962" s="1"/>
  <c r="D961"/>
  <c r="C961" s="1"/>
  <c r="D960"/>
  <c r="C960" s="1"/>
  <c r="D959"/>
  <c r="C959" s="1"/>
  <c r="D958"/>
  <c r="C958" s="1"/>
  <c r="D957"/>
  <c r="C957" s="1"/>
  <c r="D956"/>
  <c r="C956" s="1"/>
  <c r="D955"/>
  <c r="C955" s="1"/>
  <c r="D954"/>
  <c r="C954" s="1"/>
  <c r="D952"/>
  <c r="C952" s="1"/>
  <c r="D951"/>
  <c r="C951" s="1"/>
  <c r="D949"/>
  <c r="C949" s="1"/>
  <c r="D948"/>
  <c r="C948" s="1"/>
  <c r="D947"/>
  <c r="C947" s="1"/>
  <c r="D946"/>
  <c r="C946" s="1"/>
  <c r="D945"/>
  <c r="C945" s="1"/>
  <c r="D944"/>
  <c r="C944" s="1"/>
  <c r="D943"/>
  <c r="C943" s="1"/>
  <c r="D942"/>
  <c r="C942" s="1"/>
  <c r="D941"/>
  <c r="C941" s="1"/>
  <c r="D940"/>
  <c r="C940" s="1"/>
  <c r="D939"/>
  <c r="C939" s="1"/>
  <c r="D938"/>
  <c r="C938" s="1"/>
  <c r="D937"/>
  <c r="C937" s="1"/>
  <c r="D936"/>
  <c r="C936" s="1"/>
  <c r="D935"/>
  <c r="C935" s="1"/>
  <c r="D934"/>
  <c r="C934" s="1"/>
  <c r="D933"/>
  <c r="C933" s="1"/>
  <c r="D932"/>
  <c r="C932" s="1"/>
  <c r="D930"/>
  <c r="C930" s="1"/>
  <c r="D929"/>
  <c r="C929" s="1"/>
  <c r="D928"/>
  <c r="C928" s="1"/>
  <c r="D927"/>
  <c r="C927" s="1"/>
  <c r="D926"/>
  <c r="C926" s="1"/>
  <c r="D925"/>
  <c r="C925" s="1"/>
  <c r="D924"/>
  <c r="C924" s="1"/>
  <c r="D922"/>
  <c r="C922" s="1"/>
  <c r="D921"/>
  <c r="C921" s="1"/>
  <c r="D920"/>
  <c r="C920" s="1"/>
  <c r="D919"/>
  <c r="C919" s="1"/>
  <c r="D918"/>
  <c r="C918" s="1"/>
  <c r="D917"/>
  <c r="C917" s="1"/>
  <c r="D916"/>
  <c r="C916" s="1"/>
  <c r="D915"/>
  <c r="D914"/>
  <c r="C914" s="1"/>
  <c r="D913"/>
  <c r="C913" s="1"/>
  <c r="D912"/>
  <c r="C912" s="1"/>
  <c r="D911"/>
  <c r="C911" s="1"/>
  <c r="D910"/>
  <c r="C910" s="1"/>
  <c r="D909"/>
  <c r="C909" s="1"/>
  <c r="D908"/>
  <c r="C908" s="1"/>
  <c r="D907"/>
  <c r="C907" s="1"/>
  <c r="D905"/>
  <c r="C905" s="1"/>
  <c r="D904"/>
  <c r="C904" s="1"/>
  <c r="D903"/>
  <c r="C903" s="1"/>
  <c r="D902"/>
  <c r="C902" s="1"/>
  <c r="D901"/>
  <c r="C901" s="1"/>
  <c r="D900"/>
  <c r="D899"/>
  <c r="C899" s="1"/>
  <c r="D886"/>
  <c r="C886" s="1"/>
  <c r="D883"/>
  <c r="D866"/>
  <c r="D864"/>
  <c r="D863"/>
  <c r="C863" s="1"/>
  <c r="D855"/>
  <c r="D853"/>
  <c r="C853" s="1"/>
  <c r="D851"/>
  <c r="C851" s="1"/>
  <c r="D849"/>
  <c r="C849" s="1"/>
  <c r="D848"/>
  <c r="C848" s="1"/>
  <c r="D844"/>
  <c r="C844" s="1"/>
  <c r="D842"/>
  <c r="C842" s="1"/>
  <c r="D838"/>
  <c r="C838" s="1"/>
  <c r="D836"/>
  <c r="C836" s="1"/>
  <c r="D835"/>
  <c r="C835" s="1"/>
  <c r="D416"/>
  <c r="C416" s="1"/>
  <c r="D831"/>
  <c r="D830"/>
  <c r="D829"/>
  <c r="D827"/>
  <c r="C827" s="1"/>
  <c r="D825"/>
  <c r="C825" s="1"/>
  <c r="D824"/>
  <c r="C824" s="1"/>
  <c r="D823"/>
  <c r="C823" s="1"/>
  <c r="D822"/>
  <c r="C822" s="1"/>
  <c r="D820"/>
  <c r="C820" s="1"/>
  <c r="D819"/>
  <c r="C819" s="1"/>
  <c r="D817"/>
  <c r="C817" s="1"/>
  <c r="D811"/>
  <c r="C811" s="1"/>
  <c r="D810"/>
  <c r="C810" s="1"/>
  <c r="D805"/>
  <c r="D804"/>
  <c r="C804" s="1"/>
  <c r="D803"/>
  <c r="C803" s="1"/>
  <c r="D798"/>
  <c r="C798" s="1"/>
  <c r="D797"/>
  <c r="C797" s="1"/>
  <c r="D796"/>
  <c r="C796" s="1"/>
  <c r="D795"/>
  <c r="C795" s="1"/>
  <c r="D792"/>
  <c r="C792" s="1"/>
  <c r="D791"/>
  <c r="D790"/>
  <c r="C790" s="1"/>
  <c r="D788"/>
  <c r="C788" s="1"/>
  <c r="D787"/>
  <c r="C787" s="1"/>
  <c r="D786"/>
  <c r="C786" s="1"/>
  <c r="D785"/>
  <c r="C785" s="1"/>
  <c r="D784"/>
  <c r="D782"/>
  <c r="C782" s="1"/>
  <c r="D781"/>
  <c r="C781" s="1"/>
  <c r="D780"/>
  <c r="C780" s="1"/>
  <c r="D779"/>
  <c r="D777"/>
  <c r="C777" s="1"/>
  <c r="D776"/>
  <c r="C776" s="1"/>
  <c r="D764"/>
  <c r="C764" s="1"/>
  <c r="D756"/>
  <c r="C756" s="1"/>
  <c r="D754"/>
  <c r="C754" s="1"/>
  <c r="D752"/>
  <c r="D751"/>
  <c r="D739"/>
  <c r="C739" s="1"/>
  <c r="D737"/>
  <c r="D735"/>
  <c r="D734"/>
  <c r="D733"/>
  <c r="C733" s="1"/>
  <c r="D732"/>
  <c r="C732" s="1"/>
  <c r="D721"/>
  <c r="C721" s="1"/>
  <c r="D720"/>
  <c r="C720" s="1"/>
  <c r="D719"/>
  <c r="C719" s="1"/>
  <c r="D717"/>
  <c r="C717" s="1"/>
  <c r="D716"/>
  <c r="C716" s="1"/>
  <c r="D715"/>
  <c r="C715" s="1"/>
  <c r="D714"/>
  <c r="C714" s="1"/>
  <c r="D713"/>
  <c r="C713" s="1"/>
  <c r="D712"/>
  <c r="C712" s="1"/>
  <c r="D711"/>
  <c r="C711" s="1"/>
  <c r="D710"/>
  <c r="C710" s="1"/>
  <c r="D709"/>
  <c r="C709" s="1"/>
  <c r="D708"/>
  <c r="C708" s="1"/>
  <c r="D707"/>
  <c r="C707" s="1"/>
  <c r="D706"/>
  <c r="C706" s="1"/>
  <c r="D705"/>
  <c r="D704"/>
  <c r="C704" s="1"/>
  <c r="D703"/>
  <c r="C703" s="1"/>
  <c r="D702"/>
  <c r="C702" s="1"/>
  <c r="D701"/>
  <c r="C701" s="1"/>
  <c r="D700"/>
  <c r="C700" s="1"/>
  <c r="D699"/>
  <c r="C699" s="1"/>
  <c r="D698"/>
  <c r="C698" s="1"/>
  <c r="D697"/>
  <c r="C697" s="1"/>
  <c r="D696"/>
  <c r="C696" s="1"/>
  <c r="D695"/>
  <c r="C695" s="1"/>
  <c r="D694"/>
  <c r="C694" s="1"/>
  <c r="D692"/>
  <c r="C692" s="1"/>
  <c r="D691"/>
  <c r="C691" s="1"/>
  <c r="D690"/>
  <c r="C690" s="1"/>
  <c r="D689"/>
  <c r="C689" s="1"/>
  <c r="D683"/>
  <c r="C683" s="1"/>
  <c r="D682"/>
  <c r="C682" s="1"/>
  <c r="D681"/>
  <c r="C681" s="1"/>
  <c r="D679"/>
  <c r="C679" s="1"/>
  <c r="D678"/>
  <c r="C678" s="1"/>
  <c r="D677"/>
  <c r="C677" s="1"/>
  <c r="D675"/>
  <c r="C675" s="1"/>
  <c r="D674"/>
  <c r="C674" s="1"/>
  <c r="D673"/>
  <c r="C673" s="1"/>
  <c r="D672"/>
  <c r="C672" s="1"/>
  <c r="D671"/>
  <c r="C671" s="1"/>
  <c r="D670"/>
  <c r="C670" s="1"/>
  <c r="D669"/>
  <c r="C669" s="1"/>
  <c r="D668"/>
  <c r="C668" s="1"/>
  <c r="D667"/>
  <c r="C667" s="1"/>
  <c r="D666"/>
  <c r="C666" s="1"/>
  <c r="D665"/>
  <c r="C665" s="1"/>
  <c r="D664"/>
  <c r="C664" s="1"/>
  <c r="D663"/>
  <c r="C663" s="1"/>
  <c r="D661"/>
  <c r="C661" s="1"/>
  <c r="D659"/>
  <c r="C659" s="1"/>
  <c r="D658"/>
  <c r="C658" s="1"/>
  <c r="D657"/>
  <c r="C657" s="1"/>
  <c r="D656"/>
  <c r="C656" s="1"/>
  <c r="D654"/>
  <c r="C654" s="1"/>
  <c r="D653"/>
  <c r="C653" s="1"/>
  <c r="D652"/>
  <c r="C652" s="1"/>
  <c r="D649"/>
  <c r="C649" s="1"/>
  <c r="D648"/>
  <c r="C648" s="1"/>
  <c r="D647"/>
  <c r="D646"/>
  <c r="C646" s="1"/>
  <c r="D645"/>
  <c r="C645" s="1"/>
  <c r="D644"/>
  <c r="C644" s="1"/>
  <c r="D643"/>
  <c r="C643" s="1"/>
  <c r="D642"/>
  <c r="C642" s="1"/>
  <c r="D641"/>
  <c r="C641" s="1"/>
  <c r="D640"/>
  <c r="C640" s="1"/>
  <c r="D639"/>
  <c r="C639" s="1"/>
  <c r="D638"/>
  <c r="C638" s="1"/>
  <c r="D636"/>
  <c r="C636" s="1"/>
  <c r="D635"/>
  <c r="C635" s="1"/>
  <c r="D634"/>
  <c r="C634" s="1"/>
  <c r="D633"/>
  <c r="C633" s="1"/>
  <c r="D632"/>
  <c r="C632" s="1"/>
  <c r="D631"/>
  <c r="C631" s="1"/>
  <c r="D630"/>
  <c r="C630" s="1"/>
  <c r="D629"/>
  <c r="C629" s="1"/>
  <c r="D628"/>
  <c r="C628" s="1"/>
  <c r="D627"/>
  <c r="C627" s="1"/>
  <c r="D625"/>
  <c r="C625" s="1"/>
  <c r="D624"/>
  <c r="C624" s="1"/>
  <c r="D623"/>
  <c r="C623" s="1"/>
  <c r="D622"/>
  <c r="C622" s="1"/>
  <c r="D621"/>
  <c r="C621" s="1"/>
  <c r="D620"/>
  <c r="C620" s="1"/>
  <c r="D619"/>
  <c r="C619" s="1"/>
  <c r="D618"/>
  <c r="C618" s="1"/>
  <c r="D617"/>
  <c r="C617" s="1"/>
  <c r="D616"/>
  <c r="C616" s="1"/>
  <c r="D615"/>
  <c r="C615" s="1"/>
  <c r="D614"/>
  <c r="C614" s="1"/>
  <c r="D613"/>
  <c r="C613" s="1"/>
  <c r="D612"/>
  <c r="C612" s="1"/>
  <c r="D611"/>
  <c r="C611" s="1"/>
  <c r="D610"/>
  <c r="C610" s="1"/>
  <c r="D609"/>
  <c r="C609" s="1"/>
  <c r="D608"/>
  <c r="C608" s="1"/>
  <c r="D607"/>
  <c r="C607" s="1"/>
  <c r="D606"/>
  <c r="C606" s="1"/>
  <c r="D605"/>
  <c r="C605" s="1"/>
  <c r="D604"/>
  <c r="C604" s="1"/>
  <c r="D603"/>
  <c r="C603" s="1"/>
  <c r="D601"/>
  <c r="C601" s="1"/>
  <c r="D600"/>
  <c r="C600" s="1"/>
  <c r="D599"/>
  <c r="C599" s="1"/>
  <c r="D598"/>
  <c r="C598" s="1"/>
  <c r="D596"/>
  <c r="C596" s="1"/>
  <c r="D595"/>
  <c r="C595" s="1"/>
  <c r="D594"/>
  <c r="C594" s="1"/>
  <c r="D593"/>
  <c r="C593" s="1"/>
  <c r="D592"/>
  <c r="C592" s="1"/>
  <c r="D591"/>
  <c r="C591" s="1"/>
  <c r="D590"/>
  <c r="C590" s="1"/>
  <c r="D589"/>
  <c r="C589" s="1"/>
  <c r="D588"/>
  <c r="C588" s="1"/>
  <c r="D587"/>
  <c r="C587" s="1"/>
  <c r="D586"/>
  <c r="C586" s="1"/>
  <c r="D585"/>
  <c r="C585" s="1"/>
  <c r="D584"/>
  <c r="C584" s="1"/>
  <c r="D582"/>
  <c r="C582" s="1"/>
  <c r="D581"/>
  <c r="C581" s="1"/>
  <c r="D580"/>
  <c r="C580" s="1"/>
  <c r="D579"/>
  <c r="C579" s="1"/>
  <c r="D578"/>
  <c r="C578" s="1"/>
  <c r="D577"/>
  <c r="C577" s="1"/>
  <c r="D576"/>
  <c r="C576" s="1"/>
  <c r="D575"/>
  <c r="C575" s="1"/>
  <c r="D574"/>
  <c r="C574" s="1"/>
  <c r="D573"/>
  <c r="C573" s="1"/>
  <c r="D572"/>
  <c r="C572" s="1"/>
  <c r="D571"/>
  <c r="C571" s="1"/>
  <c r="D570"/>
  <c r="C570" s="1"/>
  <c r="D569"/>
  <c r="C569" s="1"/>
  <c r="D568"/>
  <c r="C568" s="1"/>
  <c r="D567"/>
  <c r="C567" s="1"/>
  <c r="D565"/>
  <c r="C565" s="1"/>
  <c r="D564"/>
  <c r="C564" s="1"/>
  <c r="D563"/>
  <c r="C563" s="1"/>
  <c r="D562"/>
  <c r="C562" s="1"/>
  <c r="D561"/>
  <c r="C561" s="1"/>
  <c r="D560"/>
  <c r="C560" s="1"/>
  <c r="D559"/>
  <c r="C559" s="1"/>
  <c r="D558"/>
  <c r="C558" s="1"/>
  <c r="D556"/>
  <c r="C556" s="1"/>
  <c r="D555"/>
  <c r="C555" s="1"/>
  <c r="D554"/>
  <c r="D553"/>
  <c r="C553" s="1"/>
  <c r="D552"/>
  <c r="D551"/>
  <c r="D550"/>
  <c r="D546"/>
  <c r="C546" s="1"/>
  <c r="D545"/>
  <c r="C545" s="1"/>
  <c r="D544"/>
  <c r="C544" s="1"/>
  <c r="D543"/>
  <c r="C543" s="1"/>
  <c r="D542"/>
  <c r="C542" s="1"/>
  <c r="D541"/>
  <c r="C541" s="1"/>
  <c r="D540"/>
  <c r="D539"/>
  <c r="C539" s="1"/>
  <c r="D538"/>
  <c r="C538" s="1"/>
  <c r="D537"/>
  <c r="C537" s="1"/>
  <c r="D534"/>
  <c r="C534" s="1"/>
  <c r="D532"/>
  <c r="C532" s="1"/>
  <c r="D531"/>
  <c r="C531" s="1"/>
  <c r="D530"/>
  <c r="C530" s="1"/>
  <c r="D529"/>
  <c r="C529" s="1"/>
  <c r="D528"/>
  <c r="C528" s="1"/>
  <c r="D527"/>
  <c r="C527" s="1"/>
  <c r="D525"/>
  <c r="D524"/>
  <c r="C524" s="1"/>
  <c r="D522"/>
  <c r="C522" s="1"/>
  <c r="D521"/>
  <c r="D520"/>
  <c r="C520" s="1"/>
  <c r="D519"/>
  <c r="C519" s="1"/>
  <c r="D518"/>
  <c r="C518" s="1"/>
  <c r="D517"/>
  <c r="C517" s="1"/>
  <c r="D512"/>
  <c r="C512" s="1"/>
  <c r="D511"/>
  <c r="C511" s="1"/>
  <c r="D509"/>
  <c r="C509" s="1"/>
  <c r="D507"/>
  <c r="C507" s="1"/>
  <c r="D506"/>
  <c r="C506" s="1"/>
  <c r="D504"/>
  <c r="D493"/>
  <c r="C493" s="1"/>
  <c r="D489"/>
  <c r="D487"/>
  <c r="D486"/>
  <c r="D483"/>
  <c r="C483" s="1"/>
  <c r="D482"/>
  <c r="D476"/>
  <c r="D466"/>
  <c r="D465"/>
  <c r="D463"/>
  <c r="D449"/>
  <c r="D448"/>
  <c r="D446"/>
  <c r="C446" s="1"/>
  <c r="D444"/>
  <c r="C444" s="1"/>
  <c r="D443"/>
  <c r="C443" s="1"/>
  <c r="D442"/>
  <c r="C442" s="1"/>
  <c r="D441"/>
  <c r="C441" s="1"/>
  <c r="D440"/>
  <c r="C440" s="1"/>
  <c r="D439"/>
  <c r="C439" s="1"/>
  <c r="D437"/>
  <c r="C437" s="1"/>
  <c r="D436"/>
  <c r="C436" s="1"/>
  <c r="D434"/>
  <c r="D433"/>
  <c r="C433" s="1"/>
  <c r="D431"/>
  <c r="C431" s="1"/>
  <c r="D430"/>
  <c r="C430" s="1"/>
  <c r="D429"/>
  <c r="D427"/>
  <c r="C427" s="1"/>
  <c r="D426"/>
  <c r="C426" s="1"/>
  <c r="D424"/>
  <c r="C424" s="1"/>
  <c r="D423"/>
  <c r="D419"/>
  <c r="C419" s="1"/>
  <c r="D418"/>
  <c r="C418" s="1"/>
  <c r="D414"/>
  <c r="C414" s="1"/>
  <c r="D412"/>
  <c r="C412" s="1"/>
  <c r="D411"/>
  <c r="C411" s="1"/>
  <c r="D410"/>
  <c r="C410" s="1"/>
  <c r="D407"/>
  <c r="C407" s="1"/>
  <c r="D406"/>
  <c r="C406" s="1"/>
  <c r="D404"/>
  <c r="C404" s="1"/>
  <c r="D403"/>
  <c r="C403" s="1"/>
  <c r="D402"/>
  <c r="C402" s="1"/>
  <c r="D398"/>
  <c r="C398" s="1"/>
  <c r="D397"/>
  <c r="C397" s="1"/>
  <c r="D393"/>
  <c r="C393" s="1"/>
  <c r="D392"/>
  <c r="C392" s="1"/>
  <c r="D389"/>
  <c r="C389" s="1"/>
  <c r="D388"/>
  <c r="C388" s="1"/>
  <c r="D386"/>
  <c r="C386" s="1"/>
  <c r="D384"/>
  <c r="C384" s="1"/>
  <c r="D381"/>
  <c r="C381" s="1"/>
  <c r="D380"/>
  <c r="D379"/>
  <c r="C379" s="1"/>
  <c r="D378"/>
  <c r="C378" s="1"/>
  <c r="D377"/>
  <c r="C377" s="1"/>
  <c r="D376"/>
  <c r="C376" s="1"/>
  <c r="D375"/>
  <c r="C375" s="1"/>
  <c r="D374"/>
  <c r="C374" s="1"/>
  <c r="D373"/>
  <c r="C373" s="1"/>
  <c r="D372"/>
  <c r="C372" s="1"/>
  <c r="D371"/>
  <c r="C371" s="1"/>
  <c r="D370"/>
  <c r="C370" s="1"/>
  <c r="D369"/>
  <c r="C369" s="1"/>
  <c r="D367"/>
  <c r="C367" s="1"/>
  <c r="D365"/>
  <c r="C365" s="1"/>
  <c r="D364"/>
  <c r="D363"/>
  <c r="C363" s="1"/>
  <c r="D356"/>
  <c r="C356" s="1"/>
  <c r="D355"/>
  <c r="C355" s="1"/>
  <c r="D354"/>
  <c r="D353"/>
  <c r="C353" s="1"/>
  <c r="D352"/>
  <c r="D351"/>
  <c r="C351" s="1"/>
  <c r="D350"/>
  <c r="C350" s="1"/>
  <c r="D349"/>
  <c r="C349" s="1"/>
  <c r="D348"/>
  <c r="C348" s="1"/>
  <c r="D347"/>
  <c r="C347" s="1"/>
  <c r="D346"/>
  <c r="C346" s="1"/>
  <c r="D345"/>
  <c r="C345" s="1"/>
  <c r="D344"/>
  <c r="C344" s="1"/>
  <c r="D343"/>
  <c r="C343" s="1"/>
  <c r="D341"/>
  <c r="D336"/>
  <c r="D332"/>
  <c r="C332" s="1"/>
  <c r="D330"/>
  <c r="C330" s="1"/>
  <c r="D329"/>
  <c r="C329" s="1"/>
  <c r="D325"/>
  <c r="C325" s="1"/>
  <c r="D322"/>
  <c r="D321"/>
  <c r="D319"/>
  <c r="C319" s="1"/>
  <c r="D318"/>
  <c r="C318" s="1"/>
  <c r="D317"/>
  <c r="C317" s="1"/>
  <c r="D312"/>
  <c r="C312" s="1"/>
  <c r="D304"/>
  <c r="C304" s="1"/>
  <c r="D303"/>
  <c r="C303" s="1"/>
  <c r="D302"/>
  <c r="D301"/>
  <c r="C301" s="1"/>
  <c r="D299"/>
  <c r="C299" s="1"/>
  <c r="D298"/>
  <c r="C298" s="1"/>
  <c r="D297"/>
  <c r="D305"/>
  <c r="C305" s="1"/>
  <c r="D296"/>
  <c r="C296" s="1"/>
  <c r="D294"/>
  <c r="D293"/>
  <c r="D292"/>
  <c r="C292" s="1"/>
  <c r="D291"/>
  <c r="D290"/>
  <c r="C290" s="1"/>
  <c r="D289"/>
  <c r="C289" s="1"/>
  <c r="D288"/>
  <c r="C288" s="1"/>
  <c r="D287"/>
  <c r="D285"/>
  <c r="C285" s="1"/>
  <c r="D280"/>
  <c r="C280" s="1"/>
  <c r="D279"/>
  <c r="C279" s="1"/>
  <c r="D277"/>
  <c r="C277" s="1"/>
  <c r="D276"/>
  <c r="C276" s="1"/>
  <c r="D275"/>
  <c r="C275" s="1"/>
  <c r="D273"/>
  <c r="C273" s="1"/>
  <c r="D272"/>
  <c r="C272" s="1"/>
  <c r="D271"/>
  <c r="D270"/>
  <c r="D268"/>
  <c r="C268" s="1"/>
  <c r="D267"/>
  <c r="C267" s="1"/>
  <c r="D265"/>
  <c r="C265" s="1"/>
  <c r="D264"/>
  <c r="C264" s="1"/>
  <c r="D263"/>
  <c r="C263" s="1"/>
  <c r="D258"/>
  <c r="C258" s="1"/>
  <c r="D257"/>
  <c r="C257" s="1"/>
  <c r="D256"/>
  <c r="C256" s="1"/>
  <c r="D255"/>
  <c r="C255" s="1"/>
  <c r="D254"/>
  <c r="D253"/>
  <c r="C253" s="1"/>
  <c r="D252"/>
  <c r="C252" s="1"/>
  <c r="D250"/>
  <c r="C250" s="1"/>
  <c r="D249"/>
  <c r="C249" s="1"/>
  <c r="D248"/>
  <c r="C248" s="1"/>
  <c r="D247"/>
  <c r="C247" s="1"/>
  <c r="D245"/>
  <c r="D244"/>
  <c r="D243"/>
  <c r="C243" s="1"/>
  <c r="D242"/>
  <c r="C242" s="1"/>
  <c r="D240"/>
  <c r="C240" s="1"/>
  <c r="D236"/>
  <c r="D235"/>
  <c r="C235" s="1"/>
  <c r="D233"/>
  <c r="D232"/>
  <c r="C232" s="1"/>
  <c r="D226"/>
  <c r="C226" s="1"/>
  <c r="D223"/>
  <c r="C223" s="1"/>
  <c r="D222"/>
  <c r="C222" s="1"/>
  <c r="D221"/>
  <c r="C221" s="1"/>
  <c r="D220"/>
  <c r="C220" s="1"/>
  <c r="D218"/>
  <c r="C218" s="1"/>
  <c r="D215"/>
  <c r="C215" s="1"/>
  <c r="D214"/>
  <c r="C214" s="1"/>
  <c r="D213"/>
  <c r="C213" s="1"/>
  <c r="D212"/>
  <c r="C212" s="1"/>
  <c r="D211"/>
  <c r="C211" s="1"/>
  <c r="D210"/>
  <c r="C210" s="1"/>
  <c r="D199"/>
  <c r="C199" s="1"/>
  <c r="D197"/>
  <c r="C197" s="1"/>
  <c r="D190"/>
  <c r="C190" s="1"/>
  <c r="D188"/>
  <c r="C188" s="1"/>
  <c r="D187"/>
  <c r="D185"/>
  <c r="C185" s="1"/>
  <c r="D184"/>
  <c r="C184" s="1"/>
  <c r="D183"/>
  <c r="C183" s="1"/>
  <c r="D182"/>
  <c r="C182" s="1"/>
  <c r="D181"/>
  <c r="C181" s="1"/>
  <c r="D180"/>
  <c r="C180" s="1"/>
  <c r="D179"/>
  <c r="C179" s="1"/>
  <c r="D175"/>
  <c r="C175" s="1"/>
  <c r="D171"/>
  <c r="C171" s="1"/>
  <c r="D170"/>
  <c r="C170" s="1"/>
  <c r="D169"/>
  <c r="C169" s="1"/>
  <c r="D168"/>
  <c r="C168" s="1"/>
  <c r="D167"/>
  <c r="D166"/>
  <c r="D165"/>
  <c r="D164"/>
  <c r="D163"/>
  <c r="C163" s="1"/>
  <c r="D162"/>
  <c r="C162" s="1"/>
  <c r="D159"/>
  <c r="C159" s="1"/>
  <c r="D158"/>
  <c r="C158" s="1"/>
  <c r="D157"/>
  <c r="C157" s="1"/>
  <c r="D156"/>
  <c r="C156" s="1"/>
  <c r="D155"/>
  <c r="C155" s="1"/>
  <c r="D154"/>
  <c r="C154" s="1"/>
  <c r="D153"/>
  <c r="C153" s="1"/>
  <c r="D152"/>
  <c r="C152" s="1"/>
  <c r="D151"/>
  <c r="C151" s="1"/>
  <c r="D150"/>
  <c r="C150" s="1"/>
  <c r="D149"/>
  <c r="C149" s="1"/>
  <c r="D148"/>
  <c r="C148" s="1"/>
  <c r="D147"/>
  <c r="C147" s="1"/>
  <c r="D146"/>
  <c r="C146" s="1"/>
  <c r="D145"/>
  <c r="C145" s="1"/>
  <c r="D143"/>
  <c r="C143" s="1"/>
  <c r="D141"/>
  <c r="D139"/>
  <c r="C139" s="1"/>
  <c r="D138"/>
  <c r="C138" s="1"/>
  <c r="D132"/>
  <c r="D131" s="1"/>
  <c r="D130"/>
  <c r="C130" s="1"/>
  <c r="D129"/>
  <c r="C129" s="1"/>
  <c r="D127"/>
  <c r="C127" s="1"/>
  <c r="D126"/>
  <c r="C126" s="1"/>
  <c r="D125"/>
  <c r="C125" s="1"/>
  <c r="D120"/>
  <c r="C120" s="1"/>
  <c r="D119"/>
  <c r="D118"/>
  <c r="C118" s="1"/>
  <c r="D117"/>
  <c r="C117" s="1"/>
  <c r="D115"/>
  <c r="D110"/>
  <c r="C110" s="1"/>
  <c r="D109"/>
  <c r="C109" s="1"/>
  <c r="D108"/>
  <c r="C108" s="1"/>
  <c r="D107"/>
  <c r="C107" s="1"/>
  <c r="D105"/>
  <c r="C105" s="1"/>
  <c r="D102"/>
  <c r="C102" s="1"/>
  <c r="D101"/>
  <c r="D100"/>
  <c r="D97"/>
  <c r="D94"/>
  <c r="D91"/>
  <c r="C91" s="1"/>
  <c r="D89"/>
  <c r="D87"/>
  <c r="D86"/>
  <c r="D85"/>
  <c r="D84"/>
  <c r="C84" s="1"/>
  <c r="D82"/>
  <c r="D81" s="1"/>
  <c r="D80"/>
  <c r="D78"/>
  <c r="C78" s="1"/>
  <c r="D77"/>
  <c r="C77" s="1"/>
  <c r="D73"/>
  <c r="C73" s="1"/>
  <c r="D71"/>
  <c r="C71" s="1"/>
  <c r="D70"/>
  <c r="C70" s="1"/>
  <c r="D68"/>
  <c r="C68" s="1"/>
  <c r="D66"/>
  <c r="D64"/>
  <c r="D63"/>
  <c r="D62"/>
  <c r="C62" s="1"/>
  <c r="D60"/>
  <c r="C60" s="1"/>
  <c r="D58"/>
  <c r="C58" s="1"/>
  <c r="D57"/>
  <c r="D55"/>
  <c r="D54" s="1"/>
  <c r="D53"/>
  <c r="D52"/>
  <c r="D51"/>
  <c r="D50"/>
  <c r="C50" s="1"/>
  <c r="D48"/>
  <c r="C48" s="1"/>
  <c r="D47"/>
  <c r="C47" s="1"/>
  <c r="D46"/>
  <c r="C46" s="1"/>
  <c r="D43"/>
  <c r="D42"/>
  <c r="D40"/>
  <c r="C40" s="1"/>
  <c r="D39"/>
  <c r="C39" s="1"/>
  <c r="D37"/>
  <c r="D36" s="1"/>
  <c r="D33"/>
  <c r="D32" s="1"/>
  <c r="D31"/>
  <c r="D30" s="1"/>
  <c r="U54"/>
  <c r="T54"/>
  <c r="S54"/>
  <c r="R54"/>
  <c r="Q54"/>
  <c r="P54"/>
  <c r="O54"/>
  <c r="N54"/>
  <c r="M54"/>
  <c r="L54"/>
  <c r="K54"/>
  <c r="J54"/>
  <c r="I54"/>
  <c r="H54"/>
  <c r="G54"/>
  <c r="F54"/>
  <c r="E54"/>
  <c r="U49"/>
  <c r="T49"/>
  <c r="S49"/>
  <c r="R49"/>
  <c r="Q49"/>
  <c r="P49"/>
  <c r="O49"/>
  <c r="M49"/>
  <c r="L49"/>
  <c r="K49"/>
  <c r="J49"/>
  <c r="I49"/>
  <c r="H49"/>
  <c r="G49"/>
  <c r="F49"/>
  <c r="E49"/>
  <c r="U44"/>
  <c r="T44"/>
  <c r="S44"/>
  <c r="R44"/>
  <c r="Q44"/>
  <c r="P44"/>
  <c r="O44"/>
  <c r="N44"/>
  <c r="M44"/>
  <c r="L44"/>
  <c r="K44"/>
  <c r="U41"/>
  <c r="T41"/>
  <c r="S41"/>
  <c r="R41"/>
  <c r="Q41"/>
  <c r="P41"/>
  <c r="O41"/>
  <c r="M41"/>
  <c r="L41"/>
  <c r="K41"/>
  <c r="J41"/>
  <c r="I41"/>
  <c r="H41"/>
  <c r="G41"/>
  <c r="F41"/>
  <c r="E41"/>
  <c r="U38"/>
  <c r="T38"/>
  <c r="S38"/>
  <c r="R38"/>
  <c r="Q38"/>
  <c r="P38"/>
  <c r="O38"/>
  <c r="N38"/>
  <c r="M38"/>
  <c r="L38"/>
  <c r="K38"/>
  <c r="J38"/>
  <c r="I38"/>
  <c r="H38"/>
  <c r="G38"/>
  <c r="F38"/>
  <c r="E38"/>
  <c r="U36"/>
  <c r="T36"/>
  <c r="S36"/>
  <c r="R36"/>
  <c r="Q36"/>
  <c r="P36"/>
  <c r="O36"/>
  <c r="N36"/>
  <c r="M36"/>
  <c r="L36"/>
  <c r="K36"/>
  <c r="J36"/>
  <c r="I36"/>
  <c r="H36"/>
  <c r="G36"/>
  <c r="F36"/>
  <c r="E36"/>
  <c r="U34"/>
  <c r="T34"/>
  <c r="S34"/>
  <c r="R34"/>
  <c r="Q34"/>
  <c r="P34"/>
  <c r="O34"/>
  <c r="M34"/>
  <c r="L34"/>
  <c r="K34"/>
  <c r="U32"/>
  <c r="T32"/>
  <c r="S32"/>
  <c r="R32"/>
  <c r="Q32"/>
  <c r="P32"/>
  <c r="O32"/>
  <c r="M32"/>
  <c r="L32"/>
  <c r="K32"/>
  <c r="J32"/>
  <c r="I32"/>
  <c r="H32"/>
  <c r="G32"/>
  <c r="F32"/>
  <c r="E32"/>
  <c r="U30"/>
  <c r="T30"/>
  <c r="S30"/>
  <c r="R30"/>
  <c r="Q30"/>
  <c r="P30"/>
  <c r="O30"/>
  <c r="M30"/>
  <c r="L30"/>
  <c r="K30"/>
  <c r="J30"/>
  <c r="I30"/>
  <c r="H30"/>
  <c r="G30"/>
  <c r="F30"/>
  <c r="E30"/>
  <c r="U14"/>
  <c r="T14"/>
  <c r="S14"/>
  <c r="R14"/>
  <c r="Q14"/>
  <c r="P14"/>
  <c r="O14"/>
  <c r="M14"/>
  <c r="L14"/>
  <c r="K14"/>
  <c r="U11"/>
  <c r="T11"/>
  <c r="S11"/>
  <c r="R11"/>
  <c r="Q11"/>
  <c r="P11"/>
  <c r="O11"/>
  <c r="N11"/>
  <c r="M11"/>
  <c r="L11"/>
  <c r="K11"/>
  <c r="C36" l="1"/>
  <c r="C54"/>
  <c r="C55"/>
  <c r="C37"/>
  <c r="D828"/>
  <c r="M774"/>
  <c r="Q774"/>
  <c r="U774"/>
  <c r="T774"/>
  <c r="T10"/>
  <c r="D428"/>
  <c r="D834"/>
  <c r="C834" s="1"/>
  <c r="D328"/>
  <c r="C328" s="1"/>
  <c r="T358"/>
  <c r="K358"/>
  <c r="O358"/>
  <c r="D59"/>
  <c r="C59" s="1"/>
  <c r="D79"/>
  <c r="D413"/>
  <c r="C413" s="1"/>
  <c r="D432"/>
  <c r="D843"/>
  <c r="C843" s="1"/>
  <c r="D316"/>
  <c r="C316" s="1"/>
  <c r="D383"/>
  <c r="C383" s="1"/>
  <c r="D425"/>
  <c r="C425" s="1"/>
  <c r="D753"/>
  <c r="C753" s="1"/>
  <c r="D821"/>
  <c r="C821" s="1"/>
  <c r="D342"/>
  <c r="K10"/>
  <c r="D61"/>
  <c r="D417"/>
  <c r="C417" s="1"/>
  <c r="D1095"/>
  <c r="D438"/>
  <c r="C438" s="1"/>
  <c r="D488"/>
  <c r="D508"/>
  <c r="C508" s="1"/>
  <c r="D56"/>
  <c r="D69"/>
  <c r="C69" s="1"/>
  <c r="D76"/>
  <c r="C76" s="1"/>
  <c r="D340"/>
  <c r="D435"/>
  <c r="C435" s="1"/>
  <c r="D401"/>
  <c r="C401" s="1"/>
  <c r="O10"/>
  <c r="D41"/>
  <c r="D809"/>
  <c r="C809" s="1"/>
  <c r="D72"/>
  <c r="C72" s="1"/>
  <c r="D445"/>
  <c r="C445" s="1"/>
  <c r="K774"/>
  <c r="O774"/>
  <c r="D802"/>
  <c r="D816"/>
  <c r="C816" s="1"/>
  <c r="D65"/>
  <c r="D311"/>
  <c r="C311" s="1"/>
  <c r="D396"/>
  <c r="C396" s="1"/>
  <c r="D67"/>
  <c r="C67" s="1"/>
  <c r="D324"/>
  <c r="C324" s="1"/>
  <c r="D422"/>
  <c r="D510"/>
  <c r="C510" s="1"/>
  <c r="D1089"/>
  <c r="C1089" s="1"/>
  <c r="M10"/>
  <c r="Q10"/>
  <c r="U10"/>
  <c r="D331"/>
  <c r="C331" s="1"/>
  <c r="M358"/>
  <c r="Q358"/>
  <c r="U358"/>
  <c r="D775"/>
  <c r="C775" s="1"/>
  <c r="D818"/>
  <c r="C818" s="1"/>
  <c r="D832"/>
  <c r="C832" s="1"/>
  <c r="D841"/>
  <c r="C841" s="1"/>
  <c r="D852"/>
  <c r="C852" s="1"/>
  <c r="D755"/>
  <c r="C755" s="1"/>
  <c r="V333" s="1"/>
  <c r="D826"/>
  <c r="C826" s="1"/>
  <c r="D837"/>
  <c r="C837" s="1"/>
  <c r="D49"/>
  <c r="D38"/>
  <c r="C38" s="1"/>
  <c r="T8" l="1"/>
  <c r="Q8"/>
  <c r="K8"/>
  <c r="M8"/>
  <c r="U8"/>
  <c r="O8"/>
  <c r="D16"/>
  <c r="C16" s="1"/>
  <c r="E1115" l="1"/>
  <c r="I1115"/>
  <c r="H1115"/>
  <c r="G1115"/>
  <c r="F1115"/>
  <c r="I1114"/>
  <c r="G1114"/>
  <c r="F1114"/>
  <c r="E1114"/>
  <c r="H1114"/>
  <c r="I1112"/>
  <c r="G1112"/>
  <c r="F1112"/>
  <c r="E1112"/>
  <c r="H1112"/>
  <c r="I1111"/>
  <c r="G1111"/>
  <c r="F1111"/>
  <c r="E1111"/>
  <c r="H1111"/>
  <c r="I1110"/>
  <c r="G1110"/>
  <c r="F1110"/>
  <c r="E1110"/>
  <c r="H1110"/>
  <c r="I1109"/>
  <c r="H1109"/>
  <c r="G1109"/>
  <c r="F1109"/>
  <c r="E1109"/>
  <c r="I1108"/>
  <c r="H1108"/>
  <c r="G1108"/>
  <c r="F1108"/>
  <c r="E1108"/>
  <c r="I1107"/>
  <c r="G1107"/>
  <c r="F1107"/>
  <c r="E1107"/>
  <c r="H1107"/>
  <c r="I1106"/>
  <c r="G1106"/>
  <c r="F1106"/>
  <c r="E1106"/>
  <c r="H1106"/>
  <c r="I1105"/>
  <c r="G1105"/>
  <c r="F1105"/>
  <c r="E1105"/>
  <c r="H1105"/>
  <c r="I1104"/>
  <c r="G1104"/>
  <c r="F1104"/>
  <c r="E1104"/>
  <c r="H1104"/>
  <c r="I1103"/>
  <c r="G1103"/>
  <c r="F1103"/>
  <c r="E1103"/>
  <c r="H1103"/>
  <c r="I1102"/>
  <c r="H1102"/>
  <c r="G1102"/>
  <c r="F1102"/>
  <c r="E1102"/>
  <c r="I1101"/>
  <c r="H1101"/>
  <c r="G1101"/>
  <c r="F1101"/>
  <c r="E1101"/>
  <c r="I1094"/>
  <c r="I1093" s="1"/>
  <c r="G1094"/>
  <c r="G1093" s="1"/>
  <c r="F1094"/>
  <c r="F1093" s="1"/>
  <c r="E1094"/>
  <c r="H1094"/>
  <c r="H1093" s="1"/>
  <c r="I1092"/>
  <c r="I1091" s="1"/>
  <c r="G1092"/>
  <c r="G1091" s="1"/>
  <c r="F1092"/>
  <c r="F1091" s="1"/>
  <c r="E1092"/>
  <c r="H1092"/>
  <c r="H1091" s="1"/>
  <c r="I1085"/>
  <c r="H1085"/>
  <c r="G1085"/>
  <c r="F1085"/>
  <c r="E1085"/>
  <c r="I1084"/>
  <c r="H1084"/>
  <c r="G1084"/>
  <c r="F1084"/>
  <c r="E1084"/>
  <c r="I1080"/>
  <c r="I1078" s="1"/>
  <c r="H1080"/>
  <c r="H1078" s="1"/>
  <c r="G1080"/>
  <c r="G1078" s="1"/>
  <c r="F1080"/>
  <c r="F1078" s="1"/>
  <c r="E1080"/>
  <c r="I1077"/>
  <c r="H1077"/>
  <c r="G1077"/>
  <c r="F1077"/>
  <c r="E1077"/>
  <c r="I1076"/>
  <c r="H1076"/>
  <c r="G1076"/>
  <c r="F1076"/>
  <c r="E1076"/>
  <c r="I1060"/>
  <c r="H1060"/>
  <c r="G1060"/>
  <c r="F1060"/>
  <c r="E1060"/>
  <c r="I1059"/>
  <c r="H1059"/>
  <c r="G1059"/>
  <c r="F1059"/>
  <c r="E1059"/>
  <c r="I1058"/>
  <c r="H1058"/>
  <c r="G1058"/>
  <c r="F1058"/>
  <c r="E1058"/>
  <c r="I1039"/>
  <c r="H1039"/>
  <c r="G1039"/>
  <c r="F1039"/>
  <c r="E1039"/>
  <c r="I1018"/>
  <c r="H1018"/>
  <c r="G1018"/>
  <c r="F1018"/>
  <c r="E1018"/>
  <c r="I1011"/>
  <c r="H1011"/>
  <c r="G1011"/>
  <c r="F1011"/>
  <c r="E1011"/>
  <c r="I1006"/>
  <c r="H1006"/>
  <c r="G1006"/>
  <c r="F1006"/>
  <c r="E1006"/>
  <c r="I985"/>
  <c r="H985"/>
  <c r="G985"/>
  <c r="F985"/>
  <c r="E985"/>
  <c r="I979"/>
  <c r="H979"/>
  <c r="G979"/>
  <c r="F979"/>
  <c r="E979"/>
  <c r="I978"/>
  <c r="H978"/>
  <c r="G978"/>
  <c r="F978"/>
  <c r="E978"/>
  <c r="I953"/>
  <c r="H953"/>
  <c r="G953"/>
  <c r="F953"/>
  <c r="E953"/>
  <c r="I950"/>
  <c r="H950"/>
  <c r="G950"/>
  <c r="F950"/>
  <c r="E950"/>
  <c r="I931"/>
  <c r="H931"/>
  <c r="G931"/>
  <c r="F931"/>
  <c r="E931"/>
  <c r="I923"/>
  <c r="H923"/>
  <c r="G923"/>
  <c r="F923"/>
  <c r="E923"/>
  <c r="I906"/>
  <c r="G906"/>
  <c r="F906"/>
  <c r="E906"/>
  <c r="H906"/>
  <c r="E897"/>
  <c r="I897"/>
  <c r="H897"/>
  <c r="G897"/>
  <c r="F897"/>
  <c r="I896"/>
  <c r="I895" s="1"/>
  <c r="G896"/>
  <c r="F896"/>
  <c r="E896"/>
  <c r="H896"/>
  <c r="I873"/>
  <c r="G873"/>
  <c r="F873"/>
  <c r="E873"/>
  <c r="H873"/>
  <c r="I872"/>
  <c r="G872"/>
  <c r="F872"/>
  <c r="E872"/>
  <c r="H872"/>
  <c r="I871"/>
  <c r="G871"/>
  <c r="F871"/>
  <c r="E871"/>
  <c r="H871"/>
  <c r="I869"/>
  <c r="G869"/>
  <c r="F869"/>
  <c r="E869"/>
  <c r="H869"/>
  <c r="I868"/>
  <c r="G868"/>
  <c r="F868"/>
  <c r="E868"/>
  <c r="H868"/>
  <c r="I867"/>
  <c r="G867"/>
  <c r="F867"/>
  <c r="E867"/>
  <c r="H867"/>
  <c r="I865"/>
  <c r="G865"/>
  <c r="F865"/>
  <c r="E865"/>
  <c r="H865"/>
  <c r="I862"/>
  <c r="G862"/>
  <c r="F862"/>
  <c r="E862"/>
  <c r="H862"/>
  <c r="I861"/>
  <c r="G861"/>
  <c r="F861"/>
  <c r="E861"/>
  <c r="H861"/>
  <c r="E860"/>
  <c r="I860"/>
  <c r="H860"/>
  <c r="G860"/>
  <c r="F860"/>
  <c r="I857"/>
  <c r="G857"/>
  <c r="F857"/>
  <c r="E857"/>
  <c r="H857"/>
  <c r="I856"/>
  <c r="G856"/>
  <c r="F856"/>
  <c r="E856"/>
  <c r="H856"/>
  <c r="I850"/>
  <c r="I847" s="1"/>
  <c r="G850"/>
  <c r="G847" s="1"/>
  <c r="F850"/>
  <c r="F847" s="1"/>
  <c r="E850"/>
  <c r="H850"/>
  <c r="H847" s="1"/>
  <c r="I846"/>
  <c r="I845" s="1"/>
  <c r="H846"/>
  <c r="H845" s="1"/>
  <c r="G846"/>
  <c r="G845" s="1"/>
  <c r="F846"/>
  <c r="F845" s="1"/>
  <c r="E846"/>
  <c r="I840"/>
  <c r="I839" s="1"/>
  <c r="H840"/>
  <c r="H839" s="1"/>
  <c r="G840"/>
  <c r="G839" s="1"/>
  <c r="F840"/>
  <c r="F839" s="1"/>
  <c r="E840"/>
  <c r="I815"/>
  <c r="H815"/>
  <c r="G815"/>
  <c r="F815"/>
  <c r="E815"/>
  <c r="I814"/>
  <c r="H814"/>
  <c r="G814"/>
  <c r="F814"/>
  <c r="E814"/>
  <c r="E801"/>
  <c r="I801"/>
  <c r="H801"/>
  <c r="G801"/>
  <c r="F801"/>
  <c r="I800"/>
  <c r="I799" s="1"/>
  <c r="G800"/>
  <c r="E800"/>
  <c r="H800"/>
  <c r="F800"/>
  <c r="I794"/>
  <c r="F794"/>
  <c r="G794"/>
  <c r="E794"/>
  <c r="H794"/>
  <c r="I793"/>
  <c r="G793"/>
  <c r="F793"/>
  <c r="E793"/>
  <c r="H793"/>
  <c r="I789"/>
  <c r="G789"/>
  <c r="F789"/>
  <c r="E789"/>
  <c r="H789"/>
  <c r="I783"/>
  <c r="G783"/>
  <c r="F783"/>
  <c r="E783"/>
  <c r="H783"/>
  <c r="I772"/>
  <c r="I771" s="1"/>
  <c r="G772"/>
  <c r="G771" s="1"/>
  <c r="F772"/>
  <c r="F771" s="1"/>
  <c r="E772"/>
  <c r="H772"/>
  <c r="H771" s="1"/>
  <c r="I770"/>
  <c r="H770"/>
  <c r="G770"/>
  <c r="F770"/>
  <c r="E770"/>
  <c r="I769"/>
  <c r="H769"/>
  <c r="G769"/>
  <c r="F769"/>
  <c r="E769"/>
  <c r="I768"/>
  <c r="H768"/>
  <c r="G768"/>
  <c r="F768"/>
  <c r="E768"/>
  <c r="I767"/>
  <c r="G767"/>
  <c r="F767"/>
  <c r="E767"/>
  <c r="H767"/>
  <c r="I766"/>
  <c r="G766"/>
  <c r="F766"/>
  <c r="E766"/>
  <c r="H766"/>
  <c r="I763"/>
  <c r="G763"/>
  <c r="F763"/>
  <c r="E763"/>
  <c r="H763"/>
  <c r="I762"/>
  <c r="G762"/>
  <c r="F762"/>
  <c r="E762"/>
  <c r="H762"/>
  <c r="I761"/>
  <c r="G761"/>
  <c r="F761"/>
  <c r="E761"/>
  <c r="H761"/>
  <c r="I760"/>
  <c r="G760"/>
  <c r="F760"/>
  <c r="E760"/>
  <c r="H760"/>
  <c r="I759"/>
  <c r="G759"/>
  <c r="F759"/>
  <c r="E759"/>
  <c r="H759"/>
  <c r="I758"/>
  <c r="G758"/>
  <c r="F758"/>
  <c r="E758"/>
  <c r="H758"/>
  <c r="F750"/>
  <c r="F749" s="1"/>
  <c r="E750"/>
  <c r="I750"/>
  <c r="I749" s="1"/>
  <c r="H750"/>
  <c r="H749" s="1"/>
  <c r="G750"/>
  <c r="G749" s="1"/>
  <c r="I748"/>
  <c r="I747" s="1"/>
  <c r="G748"/>
  <c r="G747" s="1"/>
  <c r="F748"/>
  <c r="F747" s="1"/>
  <c r="E748"/>
  <c r="H748"/>
  <c r="H747" s="1"/>
  <c r="I740"/>
  <c r="G740"/>
  <c r="F740"/>
  <c r="E740"/>
  <c r="H740"/>
  <c r="I738"/>
  <c r="G738"/>
  <c r="F738"/>
  <c r="E738"/>
  <c r="H738"/>
  <c r="I736"/>
  <c r="H736"/>
  <c r="G736"/>
  <c r="F736"/>
  <c r="E736"/>
  <c r="I730"/>
  <c r="H730"/>
  <c r="G730"/>
  <c r="F730"/>
  <c r="E730"/>
  <c r="I729"/>
  <c r="H729"/>
  <c r="G729"/>
  <c r="F729"/>
  <c r="E729"/>
  <c r="I725"/>
  <c r="H725"/>
  <c r="G725"/>
  <c r="F725"/>
  <c r="E725"/>
  <c r="I724"/>
  <c r="H724"/>
  <c r="G724"/>
  <c r="F724"/>
  <c r="E724"/>
  <c r="I723"/>
  <c r="H723"/>
  <c r="G723"/>
  <c r="F723"/>
  <c r="E723"/>
  <c r="I693"/>
  <c r="H693"/>
  <c r="G693"/>
  <c r="F693"/>
  <c r="E693"/>
  <c r="I688"/>
  <c r="H688"/>
  <c r="G688"/>
  <c r="F688"/>
  <c r="E688"/>
  <c r="I687"/>
  <c r="H687"/>
  <c r="G687"/>
  <c r="F687"/>
  <c r="E687"/>
  <c r="I686"/>
  <c r="H686"/>
  <c r="G686"/>
  <c r="F686"/>
  <c r="E686"/>
  <c r="I685"/>
  <c r="H685"/>
  <c r="G685"/>
  <c r="F685"/>
  <c r="E685"/>
  <c r="I680"/>
  <c r="H680"/>
  <c r="G680"/>
  <c r="F680"/>
  <c r="E680"/>
  <c r="I676"/>
  <c r="H676"/>
  <c r="G676"/>
  <c r="F676"/>
  <c r="E676"/>
  <c r="I655"/>
  <c r="H655"/>
  <c r="G655"/>
  <c r="F655"/>
  <c r="E655"/>
  <c r="I651"/>
  <c r="H651"/>
  <c r="G651"/>
  <c r="F651"/>
  <c r="E651"/>
  <c r="I650"/>
  <c r="H650"/>
  <c r="G650"/>
  <c r="F650"/>
  <c r="E650"/>
  <c r="I637"/>
  <c r="H637"/>
  <c r="G637"/>
  <c r="F637"/>
  <c r="E637"/>
  <c r="I602"/>
  <c r="H602"/>
  <c r="G602"/>
  <c r="F602"/>
  <c r="E602"/>
  <c r="J602"/>
  <c r="I597"/>
  <c r="H597"/>
  <c r="G597"/>
  <c r="F597"/>
  <c r="E597"/>
  <c r="J597"/>
  <c r="I583"/>
  <c r="H583"/>
  <c r="G583"/>
  <c r="F583"/>
  <c r="E583"/>
  <c r="J583"/>
  <c r="I566"/>
  <c r="H566"/>
  <c r="G566"/>
  <c r="F566"/>
  <c r="E566"/>
  <c r="J566"/>
  <c r="I557"/>
  <c r="H557"/>
  <c r="G557"/>
  <c r="E557"/>
  <c r="F557"/>
  <c r="J557"/>
  <c r="I549"/>
  <c r="H549"/>
  <c r="G549"/>
  <c r="F549"/>
  <c r="E549"/>
  <c r="J549"/>
  <c r="I548"/>
  <c r="H548"/>
  <c r="G548"/>
  <c r="F548"/>
  <c r="E548"/>
  <c r="J548"/>
  <c r="I547"/>
  <c r="H547"/>
  <c r="G547"/>
  <c r="F547"/>
  <c r="E547"/>
  <c r="J547"/>
  <c r="I536"/>
  <c r="H536"/>
  <c r="G536"/>
  <c r="F536"/>
  <c r="E536"/>
  <c r="J536"/>
  <c r="I535"/>
  <c r="H535"/>
  <c r="G535"/>
  <c r="F535"/>
  <c r="E535"/>
  <c r="J535"/>
  <c r="I533"/>
  <c r="G533"/>
  <c r="F533"/>
  <c r="E533"/>
  <c r="H533"/>
  <c r="J533"/>
  <c r="I526"/>
  <c r="H526"/>
  <c r="G526"/>
  <c r="F526"/>
  <c r="E526"/>
  <c r="J526"/>
  <c r="I523"/>
  <c r="H523"/>
  <c r="G523"/>
  <c r="F523"/>
  <c r="E523"/>
  <c r="J523"/>
  <c r="I485"/>
  <c r="H485"/>
  <c r="G485"/>
  <c r="F485"/>
  <c r="E485"/>
  <c r="I421"/>
  <c r="I420" s="1"/>
  <c r="H421"/>
  <c r="H420" s="1"/>
  <c r="G421"/>
  <c r="G420" s="1"/>
  <c r="F421"/>
  <c r="F420" s="1"/>
  <c r="E421"/>
  <c r="I382"/>
  <c r="H382"/>
  <c r="G382"/>
  <c r="F382"/>
  <c r="E382"/>
  <c r="J382"/>
  <c r="I368"/>
  <c r="H368"/>
  <c r="G368"/>
  <c r="F368"/>
  <c r="E368"/>
  <c r="J368"/>
  <c r="I366"/>
  <c r="H366"/>
  <c r="G366"/>
  <c r="F366"/>
  <c r="E366"/>
  <c r="J366"/>
  <c r="I140"/>
  <c r="G140"/>
  <c r="E140"/>
  <c r="J140"/>
  <c r="H140"/>
  <c r="F140"/>
  <c r="F731" l="1"/>
  <c r="I1113"/>
  <c r="I728"/>
  <c r="H812"/>
  <c r="F1075"/>
  <c r="G1082"/>
  <c r="G362"/>
  <c r="G799"/>
  <c r="H895"/>
  <c r="H1113"/>
  <c r="D650"/>
  <c r="C650" s="1"/>
  <c r="D725"/>
  <c r="D767"/>
  <c r="C767" s="1"/>
  <c r="H778"/>
  <c r="D794"/>
  <c r="C794" s="1"/>
  <c r="F799"/>
  <c r="H870"/>
  <c r="G898"/>
  <c r="D985"/>
  <c r="C985" s="1"/>
  <c r="D1085"/>
  <c r="C1085" s="1"/>
  <c r="D1102"/>
  <c r="C1102" s="1"/>
  <c r="D1105"/>
  <c r="C1105" s="1"/>
  <c r="F362"/>
  <c r="D485"/>
  <c r="D680"/>
  <c r="C680" s="1"/>
  <c r="D688"/>
  <c r="C688" s="1"/>
  <c r="G722"/>
  <c r="H728"/>
  <c r="D761"/>
  <c r="C761" s="1"/>
  <c r="D768"/>
  <c r="C768" s="1"/>
  <c r="I778"/>
  <c r="D862"/>
  <c r="D869"/>
  <c r="I870"/>
  <c r="D950"/>
  <c r="C950" s="1"/>
  <c r="I1075"/>
  <c r="F1082"/>
  <c r="F1100"/>
  <c r="D1039"/>
  <c r="C1039" s="1"/>
  <c r="D1115"/>
  <c r="C1115" s="1"/>
  <c r="G1113"/>
  <c r="J362"/>
  <c r="H362"/>
  <c r="H799"/>
  <c r="E1075"/>
  <c r="D1076"/>
  <c r="C1076" s="1"/>
  <c r="D736"/>
  <c r="C736" s="1"/>
  <c r="E731"/>
  <c r="E747"/>
  <c r="D748"/>
  <c r="C748" s="1"/>
  <c r="E847"/>
  <c r="D850"/>
  <c r="C850" s="1"/>
  <c r="E1082"/>
  <c r="D1084"/>
  <c r="C1084" s="1"/>
  <c r="E1093"/>
  <c r="D1094"/>
  <c r="C1094" s="1"/>
  <c r="D1101"/>
  <c r="C1101" s="1"/>
  <c r="E1100"/>
  <c r="D557"/>
  <c r="C557" s="1"/>
  <c r="D637"/>
  <c r="D676"/>
  <c r="C676" s="1"/>
  <c r="D687"/>
  <c r="C687" s="1"/>
  <c r="F722"/>
  <c r="D724"/>
  <c r="C724" s="1"/>
  <c r="G728"/>
  <c r="I731"/>
  <c r="D760"/>
  <c r="C760" s="1"/>
  <c r="D766"/>
  <c r="C766" s="1"/>
  <c r="G778"/>
  <c r="D793"/>
  <c r="C793" s="1"/>
  <c r="F812"/>
  <c r="D815"/>
  <c r="C815" s="1"/>
  <c r="H854"/>
  <c r="D861"/>
  <c r="D868"/>
  <c r="G870"/>
  <c r="D873"/>
  <c r="C873" s="1"/>
  <c r="F898"/>
  <c r="D931"/>
  <c r="C931" s="1"/>
  <c r="D979"/>
  <c r="C979" s="1"/>
  <c r="D1018"/>
  <c r="C1018" s="1"/>
  <c r="D1060"/>
  <c r="C1060" s="1"/>
  <c r="H1075"/>
  <c r="I1082"/>
  <c r="I1100"/>
  <c r="D1104"/>
  <c r="C1104" s="1"/>
  <c r="D1109"/>
  <c r="C1109" s="1"/>
  <c r="D1112"/>
  <c r="C1112" s="1"/>
  <c r="E839"/>
  <c r="D840"/>
  <c r="C840" s="1"/>
  <c r="D856"/>
  <c r="E895"/>
  <c r="D896"/>
  <c r="C896" s="1"/>
  <c r="D421"/>
  <c r="C421" s="1"/>
  <c r="E420"/>
  <c r="D140"/>
  <c r="C140" s="1"/>
  <c r="E722"/>
  <c r="D723"/>
  <c r="C723" s="1"/>
  <c r="E749"/>
  <c r="D750"/>
  <c r="E799"/>
  <c r="D800"/>
  <c r="C800" s="1"/>
  <c r="D906"/>
  <c r="C906" s="1"/>
  <c r="E898"/>
  <c r="E1078"/>
  <c r="D1080"/>
  <c r="C1080" s="1"/>
  <c r="D1092"/>
  <c r="C1092" s="1"/>
  <c r="E1091"/>
  <c r="D897"/>
  <c r="C897" s="1"/>
  <c r="D533"/>
  <c r="C533" s="1"/>
  <c r="E362"/>
  <c r="I362"/>
  <c r="D523"/>
  <c r="C523" s="1"/>
  <c r="D536"/>
  <c r="C536" s="1"/>
  <c r="D655"/>
  <c r="C655" s="1"/>
  <c r="D686"/>
  <c r="C686" s="1"/>
  <c r="I722"/>
  <c r="F728"/>
  <c r="D730"/>
  <c r="C730" s="1"/>
  <c r="H731"/>
  <c r="D740"/>
  <c r="C740" s="1"/>
  <c r="D759"/>
  <c r="C759" s="1"/>
  <c r="D763"/>
  <c r="C763" s="1"/>
  <c r="D770"/>
  <c r="C770" s="1"/>
  <c r="F778"/>
  <c r="D789"/>
  <c r="C789" s="1"/>
  <c r="D814"/>
  <c r="C814" s="1"/>
  <c r="D867"/>
  <c r="F870"/>
  <c r="D872"/>
  <c r="C872" s="1"/>
  <c r="G895"/>
  <c r="D923"/>
  <c r="D978"/>
  <c r="C978" s="1"/>
  <c r="D1011"/>
  <c r="C1011" s="1"/>
  <c r="D1059"/>
  <c r="C1059" s="1"/>
  <c r="G1075"/>
  <c r="H1082"/>
  <c r="H1100"/>
  <c r="D1103"/>
  <c r="C1103" s="1"/>
  <c r="D1107"/>
  <c r="C1107" s="1"/>
  <c r="D1108"/>
  <c r="C1108" s="1"/>
  <c r="D1111"/>
  <c r="C1111" s="1"/>
  <c r="D772"/>
  <c r="C772" s="1"/>
  <c r="E771"/>
  <c r="E1113"/>
  <c r="D1114"/>
  <c r="C1114" s="1"/>
  <c r="E728"/>
  <c r="D729"/>
  <c r="C729" s="1"/>
  <c r="D758"/>
  <c r="C758" s="1"/>
  <c r="D783"/>
  <c r="C783" s="1"/>
  <c r="E778"/>
  <c r="D846"/>
  <c r="C846" s="1"/>
  <c r="E845"/>
  <c r="E870"/>
  <c r="D871"/>
  <c r="C871" s="1"/>
  <c r="D651"/>
  <c r="C651" s="1"/>
  <c r="D685"/>
  <c r="C685" s="1"/>
  <c r="D693"/>
  <c r="C693" s="1"/>
  <c r="H722"/>
  <c r="G731"/>
  <c r="D738"/>
  <c r="C738" s="1"/>
  <c r="D762"/>
  <c r="C762" s="1"/>
  <c r="D769"/>
  <c r="C769" s="1"/>
  <c r="D801"/>
  <c r="D857"/>
  <c r="D860"/>
  <c r="D865"/>
  <c r="F895"/>
  <c r="H898"/>
  <c r="I898"/>
  <c r="D953"/>
  <c r="C953" s="1"/>
  <c r="D1006"/>
  <c r="C1006" s="1"/>
  <c r="D1058"/>
  <c r="C1058" s="1"/>
  <c r="D1077"/>
  <c r="C1077" s="1"/>
  <c r="G1100"/>
  <c r="D1106"/>
  <c r="C1106" s="1"/>
  <c r="D1110"/>
  <c r="C1110" s="1"/>
  <c r="F1113"/>
  <c r="D526"/>
  <c r="C526" s="1"/>
  <c r="D597"/>
  <c r="C597" s="1"/>
  <c r="D366"/>
  <c r="C366" s="1"/>
  <c r="D368"/>
  <c r="C368" s="1"/>
  <c r="D535"/>
  <c r="C535" s="1"/>
  <c r="D547"/>
  <c r="C547" s="1"/>
  <c r="D549"/>
  <c r="C549" s="1"/>
  <c r="D566"/>
  <c r="C566" s="1"/>
  <c r="D382"/>
  <c r="C382" s="1"/>
  <c r="D548"/>
  <c r="C548" s="1"/>
  <c r="D583"/>
  <c r="D602"/>
  <c r="C602" s="1"/>
  <c r="E1088"/>
  <c r="D1088" s="1"/>
  <c r="C1088" s="1"/>
  <c r="E1087"/>
  <c r="J1072"/>
  <c r="J1071" s="1"/>
  <c r="I1072"/>
  <c r="I1071" s="1"/>
  <c r="H1072"/>
  <c r="H1071" s="1"/>
  <c r="G1072"/>
  <c r="G1071" s="1"/>
  <c r="F1072"/>
  <c r="F1071" s="1"/>
  <c r="E1072"/>
  <c r="J1070"/>
  <c r="J1069" s="1"/>
  <c r="I1070"/>
  <c r="I1069" s="1"/>
  <c r="H1070"/>
  <c r="H1069" s="1"/>
  <c r="G1070"/>
  <c r="G1069" s="1"/>
  <c r="F1070"/>
  <c r="F1069" s="1"/>
  <c r="E1070"/>
  <c r="J894"/>
  <c r="I894"/>
  <c r="H894"/>
  <c r="G894"/>
  <c r="F894"/>
  <c r="E894"/>
  <c r="J893"/>
  <c r="I893"/>
  <c r="H893"/>
  <c r="G893"/>
  <c r="F893"/>
  <c r="E893"/>
  <c r="J891"/>
  <c r="I891"/>
  <c r="H891"/>
  <c r="G891"/>
  <c r="F891"/>
  <c r="E891"/>
  <c r="J890"/>
  <c r="I890"/>
  <c r="H890"/>
  <c r="G890"/>
  <c r="F890"/>
  <c r="E890"/>
  <c r="J889"/>
  <c r="I889"/>
  <c r="H889"/>
  <c r="G889"/>
  <c r="F889"/>
  <c r="E889"/>
  <c r="J888"/>
  <c r="I888"/>
  <c r="H888"/>
  <c r="G888"/>
  <c r="F888"/>
  <c r="E888"/>
  <c r="J887"/>
  <c r="I887"/>
  <c r="H887"/>
  <c r="G887"/>
  <c r="F887"/>
  <c r="E887"/>
  <c r="J885"/>
  <c r="I885"/>
  <c r="H885"/>
  <c r="G885"/>
  <c r="F885"/>
  <c r="E885"/>
  <c r="J884"/>
  <c r="I884"/>
  <c r="H884"/>
  <c r="G884"/>
  <c r="F884"/>
  <c r="E884"/>
  <c r="J880"/>
  <c r="J879" s="1"/>
  <c r="I880"/>
  <c r="I879" s="1"/>
  <c r="H880"/>
  <c r="H879" s="1"/>
  <c r="G880"/>
  <c r="G879" s="1"/>
  <c r="F880"/>
  <c r="F879" s="1"/>
  <c r="E880"/>
  <c r="J878"/>
  <c r="H878"/>
  <c r="E878"/>
  <c r="J877"/>
  <c r="I877"/>
  <c r="H877"/>
  <c r="G877"/>
  <c r="E877"/>
  <c r="J876"/>
  <c r="I876"/>
  <c r="H876"/>
  <c r="G876"/>
  <c r="E876"/>
  <c r="J875"/>
  <c r="I875"/>
  <c r="H875"/>
  <c r="G875"/>
  <c r="E875"/>
  <c r="J859"/>
  <c r="I859"/>
  <c r="G859"/>
  <c r="F859"/>
  <c r="E859"/>
  <c r="J858"/>
  <c r="I858"/>
  <c r="G858"/>
  <c r="F858"/>
  <c r="E858"/>
  <c r="J813"/>
  <c r="J812" s="1"/>
  <c r="I813"/>
  <c r="I812" s="1"/>
  <c r="G813"/>
  <c r="G812" s="1"/>
  <c r="E813"/>
  <c r="J808"/>
  <c r="I808"/>
  <c r="H808"/>
  <c r="G808"/>
  <c r="F808"/>
  <c r="E808"/>
  <c r="J807"/>
  <c r="I807"/>
  <c r="H807"/>
  <c r="G807"/>
  <c r="F807"/>
  <c r="E807"/>
  <c r="E746"/>
  <c r="D746" s="1"/>
  <c r="E745"/>
  <c r="D745" s="1"/>
  <c r="C745" s="1"/>
  <c r="E744"/>
  <c r="E742"/>
  <c r="J718"/>
  <c r="I718"/>
  <c r="H718"/>
  <c r="G718"/>
  <c r="F718"/>
  <c r="E718"/>
  <c r="J684"/>
  <c r="I684"/>
  <c r="H684"/>
  <c r="G684"/>
  <c r="F684"/>
  <c r="E684"/>
  <c r="J662"/>
  <c r="I662"/>
  <c r="H662"/>
  <c r="G662"/>
  <c r="F662"/>
  <c r="E662"/>
  <c r="J660"/>
  <c r="I660"/>
  <c r="H660"/>
  <c r="G660"/>
  <c r="F660"/>
  <c r="E660"/>
  <c r="J516"/>
  <c r="I516"/>
  <c r="H516"/>
  <c r="G516"/>
  <c r="F516"/>
  <c r="E516"/>
  <c r="J514"/>
  <c r="J513" s="1"/>
  <c r="I514"/>
  <c r="I513" s="1"/>
  <c r="H514"/>
  <c r="H513" s="1"/>
  <c r="G514"/>
  <c r="G513" s="1"/>
  <c r="F514"/>
  <c r="F513" s="1"/>
  <c r="E514"/>
  <c r="J505"/>
  <c r="I505"/>
  <c r="H505"/>
  <c r="G505"/>
  <c r="F505"/>
  <c r="E505"/>
  <c r="J503"/>
  <c r="I503"/>
  <c r="H503"/>
  <c r="G503"/>
  <c r="F503"/>
  <c r="E503"/>
  <c r="J502"/>
  <c r="I502"/>
  <c r="H502"/>
  <c r="G502"/>
  <c r="F502"/>
  <c r="E502"/>
  <c r="J501"/>
  <c r="I501"/>
  <c r="H501"/>
  <c r="G501"/>
  <c r="F501"/>
  <c r="E501"/>
  <c r="J500"/>
  <c r="I500"/>
  <c r="H500"/>
  <c r="G500"/>
  <c r="F500"/>
  <c r="E500"/>
  <c r="J499"/>
  <c r="I499"/>
  <c r="H499"/>
  <c r="G499"/>
  <c r="F499"/>
  <c r="E499"/>
  <c r="J498"/>
  <c r="I498"/>
  <c r="H498"/>
  <c r="G498"/>
  <c r="F498"/>
  <c r="E498"/>
  <c r="J497"/>
  <c r="I497"/>
  <c r="H497"/>
  <c r="G497"/>
  <c r="F497"/>
  <c r="E497"/>
  <c r="J496"/>
  <c r="I496"/>
  <c r="H496"/>
  <c r="G496"/>
  <c r="F496"/>
  <c r="E496"/>
  <c r="J495"/>
  <c r="I495"/>
  <c r="H495"/>
  <c r="G495"/>
  <c r="F495"/>
  <c r="E495"/>
  <c r="J494"/>
  <c r="I494"/>
  <c r="H494"/>
  <c r="G494"/>
  <c r="F494"/>
  <c r="E494"/>
  <c r="J491"/>
  <c r="J490" s="1"/>
  <c r="I491"/>
  <c r="I490" s="1"/>
  <c r="H491"/>
  <c r="H490" s="1"/>
  <c r="G491"/>
  <c r="G490" s="1"/>
  <c r="F491"/>
  <c r="F490" s="1"/>
  <c r="E491"/>
  <c r="J484"/>
  <c r="G484"/>
  <c r="E484"/>
  <c r="J481"/>
  <c r="I481"/>
  <c r="H481"/>
  <c r="G481"/>
  <c r="F481"/>
  <c r="E481"/>
  <c r="J480"/>
  <c r="I480"/>
  <c r="H480"/>
  <c r="G480"/>
  <c r="F480"/>
  <c r="E480"/>
  <c r="J475"/>
  <c r="I475"/>
  <c r="H475"/>
  <c r="G475"/>
  <c r="F475"/>
  <c r="E475"/>
  <c r="J474"/>
  <c r="I474"/>
  <c r="H474"/>
  <c r="G474"/>
  <c r="F474"/>
  <c r="E474"/>
  <c r="J473"/>
  <c r="I473"/>
  <c r="H473"/>
  <c r="G473"/>
  <c r="F473"/>
  <c r="E473"/>
  <c r="J472"/>
  <c r="I472"/>
  <c r="H472"/>
  <c r="G472"/>
  <c r="F472"/>
  <c r="E472"/>
  <c r="J471"/>
  <c r="I471"/>
  <c r="H471"/>
  <c r="G471"/>
  <c r="F471"/>
  <c r="E471"/>
  <c r="J470"/>
  <c r="I470"/>
  <c r="H470"/>
  <c r="G470"/>
  <c r="F470"/>
  <c r="E470"/>
  <c r="J468"/>
  <c r="J467" s="1"/>
  <c r="I468"/>
  <c r="I467" s="1"/>
  <c r="H468"/>
  <c r="H467" s="1"/>
  <c r="G468"/>
  <c r="G467" s="1"/>
  <c r="F468"/>
  <c r="F467" s="1"/>
  <c r="E468"/>
  <c r="J464"/>
  <c r="I464"/>
  <c r="H464"/>
  <c r="G464"/>
  <c r="F464"/>
  <c r="E464"/>
  <c r="J462"/>
  <c r="I462"/>
  <c r="H462"/>
  <c r="G462"/>
  <c r="F462"/>
  <c r="E462"/>
  <c r="J461"/>
  <c r="I461"/>
  <c r="H461"/>
  <c r="G461"/>
  <c r="F461"/>
  <c r="E461"/>
  <c r="J460"/>
  <c r="I460"/>
  <c r="H460"/>
  <c r="G460"/>
  <c r="F460"/>
  <c r="E460"/>
  <c r="J459"/>
  <c r="I459"/>
  <c r="H459"/>
  <c r="G459"/>
  <c r="F459"/>
  <c r="E459"/>
  <c r="J458"/>
  <c r="I458"/>
  <c r="H458"/>
  <c r="G458"/>
  <c r="F458"/>
  <c r="E458"/>
  <c r="J457"/>
  <c r="I457"/>
  <c r="H457"/>
  <c r="G457"/>
  <c r="F457"/>
  <c r="E457"/>
  <c r="J456"/>
  <c r="I456"/>
  <c r="H456"/>
  <c r="G456"/>
  <c r="F456"/>
  <c r="E456"/>
  <c r="J455"/>
  <c r="I455"/>
  <c r="H455"/>
  <c r="G455"/>
  <c r="F455"/>
  <c r="E455"/>
  <c r="J454"/>
  <c r="I454"/>
  <c r="H454"/>
  <c r="G454"/>
  <c r="F454"/>
  <c r="E454"/>
  <c r="J453"/>
  <c r="I453"/>
  <c r="H453"/>
  <c r="G453"/>
  <c r="F453"/>
  <c r="E453"/>
  <c r="J452"/>
  <c r="I452"/>
  <c r="H452"/>
  <c r="G452"/>
  <c r="F452"/>
  <c r="E452"/>
  <c r="J451"/>
  <c r="I451"/>
  <c r="H451"/>
  <c r="G451"/>
  <c r="F451"/>
  <c r="E451"/>
  <c r="J450"/>
  <c r="I450"/>
  <c r="H450"/>
  <c r="G450"/>
  <c r="F450"/>
  <c r="E450"/>
  <c r="J400"/>
  <c r="J399" s="1"/>
  <c r="H400"/>
  <c r="H399" s="1"/>
  <c r="E400"/>
  <c r="J395"/>
  <c r="J394" s="1"/>
  <c r="E395"/>
  <c r="J391"/>
  <c r="J390" s="1"/>
  <c r="I391"/>
  <c r="I390" s="1"/>
  <c r="H391"/>
  <c r="H390" s="1"/>
  <c r="G391"/>
  <c r="G390" s="1"/>
  <c r="F391"/>
  <c r="F390" s="1"/>
  <c r="E391"/>
  <c r="J387"/>
  <c r="J385" s="1"/>
  <c r="I387"/>
  <c r="I385" s="1"/>
  <c r="H387"/>
  <c r="H385" s="1"/>
  <c r="G387"/>
  <c r="G385" s="1"/>
  <c r="F387"/>
  <c r="F385" s="1"/>
  <c r="E387"/>
  <c r="J361"/>
  <c r="I361"/>
  <c r="H361"/>
  <c r="G361"/>
  <c r="F361"/>
  <c r="E361"/>
  <c r="J360"/>
  <c r="I360"/>
  <c r="H360"/>
  <c r="G360"/>
  <c r="F360"/>
  <c r="E360"/>
  <c r="J339"/>
  <c r="J338" s="1"/>
  <c r="I339"/>
  <c r="I338" s="1"/>
  <c r="H339"/>
  <c r="H338" s="1"/>
  <c r="G339"/>
  <c r="G338" s="1"/>
  <c r="F339"/>
  <c r="F338" s="1"/>
  <c r="E339"/>
  <c r="F337"/>
  <c r="F335" s="1"/>
  <c r="E337"/>
  <c r="E327"/>
  <c r="J323"/>
  <c r="J320" s="1"/>
  <c r="I323"/>
  <c r="I320" s="1"/>
  <c r="H323"/>
  <c r="H320" s="1"/>
  <c r="G323"/>
  <c r="G320" s="1"/>
  <c r="F323"/>
  <c r="F320" s="1"/>
  <c r="E323"/>
  <c r="J315"/>
  <c r="I315"/>
  <c r="H315"/>
  <c r="G315"/>
  <c r="F315"/>
  <c r="E315"/>
  <c r="J314"/>
  <c r="I314"/>
  <c r="H314"/>
  <c r="G314"/>
  <c r="F314"/>
  <c r="E314"/>
  <c r="J310"/>
  <c r="I310"/>
  <c r="G310"/>
  <c r="F310"/>
  <c r="E310"/>
  <c r="J309"/>
  <c r="I309"/>
  <c r="G309"/>
  <c r="F309"/>
  <c r="E309"/>
  <c r="J308"/>
  <c r="I308"/>
  <c r="G308"/>
  <c r="F308"/>
  <c r="E308"/>
  <c r="J307"/>
  <c r="I307"/>
  <c r="G307"/>
  <c r="F307"/>
  <c r="E307"/>
  <c r="J300"/>
  <c r="I300"/>
  <c r="G300"/>
  <c r="F300"/>
  <c r="E300"/>
  <c r="J295"/>
  <c r="I295"/>
  <c r="H295"/>
  <c r="G295"/>
  <c r="F295"/>
  <c r="E295"/>
  <c r="J286"/>
  <c r="I286"/>
  <c r="H286"/>
  <c r="G286"/>
  <c r="F286"/>
  <c r="E286"/>
  <c r="J284"/>
  <c r="I284"/>
  <c r="H284"/>
  <c r="G284"/>
  <c r="F284"/>
  <c r="E284"/>
  <c r="J283"/>
  <c r="I283"/>
  <c r="G283"/>
  <c r="F283"/>
  <c r="E283"/>
  <c r="J282"/>
  <c r="I282"/>
  <c r="H282"/>
  <c r="G282"/>
  <c r="F282"/>
  <c r="E282"/>
  <c r="J281"/>
  <c r="I281"/>
  <c r="H281"/>
  <c r="G281"/>
  <c r="F281"/>
  <c r="E281"/>
  <c r="J278"/>
  <c r="I278"/>
  <c r="H278"/>
  <c r="G278"/>
  <c r="F278"/>
  <c r="E278"/>
  <c r="J274"/>
  <c r="I274"/>
  <c r="H274"/>
  <c r="G274"/>
  <c r="F274"/>
  <c r="E274"/>
  <c r="J269"/>
  <c r="I269"/>
  <c r="H269"/>
  <c r="G269"/>
  <c r="F269"/>
  <c r="E269"/>
  <c r="J266"/>
  <c r="I266"/>
  <c r="H266"/>
  <c r="G266"/>
  <c r="F266"/>
  <c r="E266"/>
  <c r="J262"/>
  <c r="I262"/>
  <c r="H262"/>
  <c r="G262"/>
  <c r="F262"/>
  <c r="E262"/>
  <c r="J261"/>
  <c r="I261"/>
  <c r="H261"/>
  <c r="G261"/>
  <c r="F261"/>
  <c r="E261"/>
  <c r="J260"/>
  <c r="I260"/>
  <c r="H260"/>
  <c r="G260"/>
  <c r="F260"/>
  <c r="E260"/>
  <c r="J259"/>
  <c r="I259"/>
  <c r="H259"/>
  <c r="G259"/>
  <c r="F259"/>
  <c r="E259"/>
  <c r="J251"/>
  <c r="I251"/>
  <c r="H251"/>
  <c r="G251"/>
  <c r="F251"/>
  <c r="E251"/>
  <c r="J246"/>
  <c r="I246"/>
  <c r="H246"/>
  <c r="G246"/>
  <c r="F246"/>
  <c r="E246"/>
  <c r="J241"/>
  <c r="I241"/>
  <c r="H241"/>
  <c r="G241"/>
  <c r="F241"/>
  <c r="E241"/>
  <c r="J239"/>
  <c r="I239"/>
  <c r="H239"/>
  <c r="G239"/>
  <c r="F239"/>
  <c r="E239"/>
  <c r="J238"/>
  <c r="I238"/>
  <c r="H238"/>
  <c r="G238"/>
  <c r="F238"/>
  <c r="E238"/>
  <c r="J237"/>
  <c r="I237"/>
  <c r="H237"/>
  <c r="G237"/>
  <c r="F237"/>
  <c r="E237"/>
  <c r="J234"/>
  <c r="I234"/>
  <c r="H234"/>
  <c r="G234"/>
  <c r="F234"/>
  <c r="E234"/>
  <c r="J231"/>
  <c r="I231"/>
  <c r="H231"/>
  <c r="G231"/>
  <c r="F231"/>
  <c r="E231"/>
  <c r="J230"/>
  <c r="I230"/>
  <c r="H230"/>
  <c r="G230"/>
  <c r="F230"/>
  <c r="E230"/>
  <c r="J229"/>
  <c r="I229"/>
  <c r="G229"/>
  <c r="F229"/>
  <c r="E229"/>
  <c r="J228"/>
  <c r="I228"/>
  <c r="H228"/>
  <c r="G228"/>
  <c r="F228"/>
  <c r="E228"/>
  <c r="J227"/>
  <c r="I227"/>
  <c r="H227"/>
  <c r="G227"/>
  <c r="F227"/>
  <c r="E227"/>
  <c r="J225"/>
  <c r="I225"/>
  <c r="H225"/>
  <c r="G225"/>
  <c r="F225"/>
  <c r="E225"/>
  <c r="J224"/>
  <c r="I224"/>
  <c r="H224"/>
  <c r="G224"/>
  <c r="F224"/>
  <c r="E224"/>
  <c r="J219"/>
  <c r="I219"/>
  <c r="G219"/>
  <c r="F219"/>
  <c r="E219"/>
  <c r="J217"/>
  <c r="I217"/>
  <c r="H217"/>
  <c r="G217"/>
  <c r="F217"/>
  <c r="E217"/>
  <c r="J216"/>
  <c r="I216"/>
  <c r="H216"/>
  <c r="G216"/>
  <c r="F216"/>
  <c r="E216"/>
  <c r="J209"/>
  <c r="I209"/>
  <c r="H209"/>
  <c r="G209"/>
  <c r="F209"/>
  <c r="E209"/>
  <c r="J208"/>
  <c r="I208"/>
  <c r="H208"/>
  <c r="G208"/>
  <c r="F208"/>
  <c r="E208"/>
  <c r="J207"/>
  <c r="I207"/>
  <c r="H207"/>
  <c r="G207"/>
  <c r="F207"/>
  <c r="E207"/>
  <c r="J206"/>
  <c r="I206"/>
  <c r="H206"/>
  <c r="G206"/>
  <c r="F206"/>
  <c r="E206"/>
  <c r="J205"/>
  <c r="I205"/>
  <c r="H205"/>
  <c r="G205"/>
  <c r="F205"/>
  <c r="E205"/>
  <c r="J204"/>
  <c r="I204"/>
  <c r="H204"/>
  <c r="G204"/>
  <c r="F204"/>
  <c r="E204"/>
  <c r="J203"/>
  <c r="I203"/>
  <c r="H203"/>
  <c r="G203"/>
  <c r="F203"/>
  <c r="E203"/>
  <c r="J202"/>
  <c r="I202"/>
  <c r="H202"/>
  <c r="G202"/>
  <c r="F202"/>
  <c r="E202"/>
  <c r="J201"/>
  <c r="I201"/>
  <c r="H201"/>
  <c r="G201"/>
  <c r="F201"/>
  <c r="E201"/>
  <c r="J200"/>
  <c r="I200"/>
  <c r="H200"/>
  <c r="G200"/>
  <c r="F200"/>
  <c r="E200"/>
  <c r="J198"/>
  <c r="I198"/>
  <c r="H198"/>
  <c r="G198"/>
  <c r="F198"/>
  <c r="E198"/>
  <c r="J196"/>
  <c r="I196"/>
  <c r="H196"/>
  <c r="G196"/>
  <c r="F196"/>
  <c r="E196"/>
  <c r="J195"/>
  <c r="I195"/>
  <c r="H195"/>
  <c r="G195"/>
  <c r="F195"/>
  <c r="E195"/>
  <c r="J194"/>
  <c r="I194"/>
  <c r="H194"/>
  <c r="G194"/>
  <c r="F194"/>
  <c r="E194"/>
  <c r="J193"/>
  <c r="I193"/>
  <c r="H193"/>
  <c r="G193"/>
  <c r="F193"/>
  <c r="E193"/>
  <c r="J192"/>
  <c r="I192"/>
  <c r="H192"/>
  <c r="G192"/>
  <c r="F192"/>
  <c r="E192"/>
  <c r="J191"/>
  <c r="I191"/>
  <c r="H191"/>
  <c r="G191"/>
  <c r="F191"/>
  <c r="E191"/>
  <c r="J189"/>
  <c r="I189"/>
  <c r="H189"/>
  <c r="G189"/>
  <c r="F189"/>
  <c r="E189"/>
  <c r="J186"/>
  <c r="I186"/>
  <c r="H186"/>
  <c r="G186"/>
  <c r="F186"/>
  <c r="E186"/>
  <c r="J178"/>
  <c r="I178"/>
  <c r="H178"/>
  <c r="G178"/>
  <c r="F178"/>
  <c r="E178"/>
  <c r="J177"/>
  <c r="I177"/>
  <c r="H177"/>
  <c r="G177"/>
  <c r="F177"/>
  <c r="E177"/>
  <c r="J176"/>
  <c r="I176"/>
  <c r="H176"/>
  <c r="G176"/>
  <c r="F176"/>
  <c r="E176"/>
  <c r="J174"/>
  <c r="I174"/>
  <c r="H174"/>
  <c r="G174"/>
  <c r="F174"/>
  <c r="E174"/>
  <c r="J173"/>
  <c r="I173"/>
  <c r="H173"/>
  <c r="G173"/>
  <c r="F173"/>
  <c r="E173"/>
  <c r="J172"/>
  <c r="I172"/>
  <c r="H172"/>
  <c r="G172"/>
  <c r="F172"/>
  <c r="E172"/>
  <c r="J160"/>
  <c r="I160"/>
  <c r="H160"/>
  <c r="G160"/>
  <c r="F160"/>
  <c r="E160"/>
  <c r="J144"/>
  <c r="I144"/>
  <c r="H144"/>
  <c r="G144"/>
  <c r="F144"/>
  <c r="E144"/>
  <c r="J142"/>
  <c r="I142"/>
  <c r="H142"/>
  <c r="G142"/>
  <c r="F142"/>
  <c r="E142"/>
  <c r="J136"/>
  <c r="J135" s="1"/>
  <c r="I136"/>
  <c r="I135" s="1"/>
  <c r="H136"/>
  <c r="H135" s="1"/>
  <c r="G136"/>
  <c r="G135" s="1"/>
  <c r="F136"/>
  <c r="F135" s="1"/>
  <c r="E136"/>
  <c r="J134"/>
  <c r="J133" s="1"/>
  <c r="I134"/>
  <c r="I133" s="1"/>
  <c r="H134"/>
  <c r="H133" s="1"/>
  <c r="G134"/>
  <c r="G133" s="1"/>
  <c r="F134"/>
  <c r="F133" s="1"/>
  <c r="E134"/>
  <c r="J128"/>
  <c r="I128"/>
  <c r="H128"/>
  <c r="G128"/>
  <c r="F128"/>
  <c r="E128"/>
  <c r="J124"/>
  <c r="I124"/>
  <c r="H124"/>
  <c r="G124"/>
  <c r="F124"/>
  <c r="E124"/>
  <c r="J123"/>
  <c r="I123"/>
  <c r="H123"/>
  <c r="G123"/>
  <c r="F123"/>
  <c r="E123"/>
  <c r="J122"/>
  <c r="I122"/>
  <c r="H122"/>
  <c r="G122"/>
  <c r="F122"/>
  <c r="E122"/>
  <c r="J116"/>
  <c r="I116"/>
  <c r="H116"/>
  <c r="G116"/>
  <c r="F116"/>
  <c r="E116"/>
  <c r="J114"/>
  <c r="I114"/>
  <c r="H114"/>
  <c r="G114"/>
  <c r="F114"/>
  <c r="E114"/>
  <c r="J112"/>
  <c r="I112"/>
  <c r="H112"/>
  <c r="G112"/>
  <c r="F112"/>
  <c r="E112"/>
  <c r="J111"/>
  <c r="I111"/>
  <c r="H111"/>
  <c r="G111"/>
  <c r="F111"/>
  <c r="E111"/>
  <c r="J104"/>
  <c r="J103" s="1"/>
  <c r="I104"/>
  <c r="I103" s="1"/>
  <c r="H104"/>
  <c r="H103" s="1"/>
  <c r="G104"/>
  <c r="G103" s="1"/>
  <c r="F104"/>
  <c r="F103" s="1"/>
  <c r="E104"/>
  <c r="J99"/>
  <c r="I99"/>
  <c r="H99"/>
  <c r="G99"/>
  <c r="F99"/>
  <c r="E99"/>
  <c r="J98"/>
  <c r="I98"/>
  <c r="H98"/>
  <c r="G98"/>
  <c r="F98"/>
  <c r="E98"/>
  <c r="J96"/>
  <c r="I96"/>
  <c r="H96"/>
  <c r="G96"/>
  <c r="F96"/>
  <c r="E96"/>
  <c r="J95"/>
  <c r="I95"/>
  <c r="H95"/>
  <c r="G95"/>
  <c r="F95"/>
  <c r="E95"/>
  <c r="J93"/>
  <c r="I93"/>
  <c r="H93"/>
  <c r="G93"/>
  <c r="F93"/>
  <c r="E93"/>
  <c r="J92"/>
  <c r="I92"/>
  <c r="H92"/>
  <c r="G92"/>
  <c r="F92"/>
  <c r="E92"/>
  <c r="J90"/>
  <c r="I90"/>
  <c r="H90"/>
  <c r="G90"/>
  <c r="F90"/>
  <c r="E90"/>
  <c r="J88"/>
  <c r="I88"/>
  <c r="H88"/>
  <c r="G88"/>
  <c r="F88"/>
  <c r="E88"/>
  <c r="J75"/>
  <c r="J74" s="1"/>
  <c r="I75"/>
  <c r="I74" s="1"/>
  <c r="H75"/>
  <c r="H74" s="1"/>
  <c r="G75"/>
  <c r="G74" s="1"/>
  <c r="F75"/>
  <c r="F74" s="1"/>
  <c r="E75"/>
  <c r="F854" l="1"/>
  <c r="H83"/>
  <c r="F106"/>
  <c r="F113"/>
  <c r="F121"/>
  <c r="F313"/>
  <c r="J313"/>
  <c r="G359"/>
  <c r="F447"/>
  <c r="J447"/>
  <c r="H479"/>
  <c r="G492"/>
  <c r="I806"/>
  <c r="I892"/>
  <c r="J106"/>
  <c r="J113"/>
  <c r="J121"/>
  <c r="G83"/>
  <c r="I106"/>
  <c r="I113"/>
  <c r="I121"/>
  <c r="I313"/>
  <c r="F359"/>
  <c r="J359"/>
  <c r="I447"/>
  <c r="F492"/>
  <c r="J492"/>
  <c r="J515"/>
  <c r="H806"/>
  <c r="J881"/>
  <c r="H892"/>
  <c r="G854"/>
  <c r="D224"/>
  <c r="C224" s="1"/>
  <c r="D227"/>
  <c r="C227" s="1"/>
  <c r="D229"/>
  <c r="C229" s="1"/>
  <c r="D284"/>
  <c r="C284" s="1"/>
  <c r="D295"/>
  <c r="C295" s="1"/>
  <c r="F306"/>
  <c r="D308"/>
  <c r="C308" s="1"/>
  <c r="D361"/>
  <c r="C361" s="1"/>
  <c r="D495"/>
  <c r="D497"/>
  <c r="C497" s="1"/>
  <c r="D499"/>
  <c r="C499" s="1"/>
  <c r="D501"/>
  <c r="C501" s="1"/>
  <c r="D503"/>
  <c r="C503" s="1"/>
  <c r="D660"/>
  <c r="C660" s="1"/>
  <c r="D684"/>
  <c r="D858"/>
  <c r="J854"/>
  <c r="H874"/>
  <c r="D877"/>
  <c r="C877" s="1"/>
  <c r="D885"/>
  <c r="C885" s="1"/>
  <c r="D888"/>
  <c r="C888" s="1"/>
  <c r="D890"/>
  <c r="C890" s="1"/>
  <c r="G479"/>
  <c r="I854"/>
  <c r="E390"/>
  <c r="D391"/>
  <c r="C391" s="1"/>
  <c r="E399"/>
  <c r="D400"/>
  <c r="C400" s="1"/>
  <c r="E513"/>
  <c r="D514"/>
  <c r="C514" s="1"/>
  <c r="D742"/>
  <c r="C742" s="1"/>
  <c r="E741"/>
  <c r="D813"/>
  <c r="C813" s="1"/>
  <c r="E812"/>
  <c r="D722"/>
  <c r="D1100"/>
  <c r="C1100" s="1"/>
  <c r="E121"/>
  <c r="D122"/>
  <c r="E306"/>
  <c r="D307"/>
  <c r="C307" s="1"/>
  <c r="E313"/>
  <c r="D314"/>
  <c r="E320"/>
  <c r="D323"/>
  <c r="E447"/>
  <c r="D450"/>
  <c r="E467"/>
  <c r="D468"/>
  <c r="C468" s="1"/>
  <c r="D362"/>
  <c r="D845"/>
  <c r="C845" s="1"/>
  <c r="D1091"/>
  <c r="C1091" s="1"/>
  <c r="D898"/>
  <c r="D1082"/>
  <c r="C1082" s="1"/>
  <c r="D747"/>
  <c r="C747" s="1"/>
  <c r="D1075"/>
  <c r="C1075" s="1"/>
  <c r="D93"/>
  <c r="D160"/>
  <c r="D178"/>
  <c r="D192"/>
  <c r="C192" s="1"/>
  <c r="D194"/>
  <c r="C194" s="1"/>
  <c r="D202"/>
  <c r="C202" s="1"/>
  <c r="D208"/>
  <c r="C208" s="1"/>
  <c r="D216"/>
  <c r="C216" s="1"/>
  <c r="D231"/>
  <c r="C231" s="1"/>
  <c r="D246"/>
  <c r="D259"/>
  <c r="C259" s="1"/>
  <c r="D266"/>
  <c r="C266" s="1"/>
  <c r="D274"/>
  <c r="C274" s="1"/>
  <c r="D281"/>
  <c r="C281" s="1"/>
  <c r="D283"/>
  <c r="C283" s="1"/>
  <c r="J306"/>
  <c r="D452"/>
  <c r="D454"/>
  <c r="D456"/>
  <c r="D458"/>
  <c r="D460"/>
  <c r="D462"/>
  <c r="D471"/>
  <c r="C471" s="1"/>
  <c r="D473"/>
  <c r="C473" s="1"/>
  <c r="D475"/>
  <c r="C475" s="1"/>
  <c r="D481"/>
  <c r="C481" s="1"/>
  <c r="G874"/>
  <c r="D876"/>
  <c r="C876" s="1"/>
  <c r="E892"/>
  <c r="D893"/>
  <c r="C893" s="1"/>
  <c r="D1070"/>
  <c r="C1070" s="1"/>
  <c r="E1069"/>
  <c r="D870"/>
  <c r="C870" s="1"/>
  <c r="D728"/>
  <c r="C728" s="1"/>
  <c r="D1078"/>
  <c r="C1078" s="1"/>
  <c r="D799"/>
  <c r="E113"/>
  <c r="D114"/>
  <c r="C114" s="1"/>
  <c r="E133"/>
  <c r="D134"/>
  <c r="D337"/>
  <c r="C337" s="1"/>
  <c r="E335"/>
  <c r="E359"/>
  <c r="D360"/>
  <c r="C360" s="1"/>
  <c r="E385"/>
  <c r="D387"/>
  <c r="C387" s="1"/>
  <c r="E394"/>
  <c r="D395"/>
  <c r="C395" s="1"/>
  <c r="E492"/>
  <c r="D494"/>
  <c r="D516"/>
  <c r="E874"/>
  <c r="D875"/>
  <c r="C875" s="1"/>
  <c r="E1071"/>
  <c r="D1072"/>
  <c r="C1072" s="1"/>
  <c r="D1113"/>
  <c r="C1113" s="1"/>
  <c r="D749"/>
  <c r="D895"/>
  <c r="C895" s="1"/>
  <c r="D839"/>
  <c r="C839" s="1"/>
  <c r="D731"/>
  <c r="D96"/>
  <c r="D124"/>
  <c r="D142"/>
  <c r="C142" s="1"/>
  <c r="D173"/>
  <c r="C173" s="1"/>
  <c r="D176"/>
  <c r="C176" s="1"/>
  <c r="D189"/>
  <c r="C189" s="1"/>
  <c r="D196"/>
  <c r="C196" s="1"/>
  <c r="D200"/>
  <c r="C200" s="1"/>
  <c r="D204"/>
  <c r="C204" s="1"/>
  <c r="D206"/>
  <c r="C206" s="1"/>
  <c r="D219"/>
  <c r="C219" s="1"/>
  <c r="D237"/>
  <c r="C237" s="1"/>
  <c r="D239"/>
  <c r="C239" s="1"/>
  <c r="D261"/>
  <c r="C261" s="1"/>
  <c r="F83"/>
  <c r="J83"/>
  <c r="H106"/>
  <c r="H113"/>
  <c r="H121"/>
  <c r="D225"/>
  <c r="D228"/>
  <c r="C228" s="1"/>
  <c r="D286"/>
  <c r="D300"/>
  <c r="I306"/>
  <c r="D310"/>
  <c r="C310" s="1"/>
  <c r="H313"/>
  <c r="I359"/>
  <c r="H447"/>
  <c r="J469"/>
  <c r="F479"/>
  <c r="J479"/>
  <c r="I492"/>
  <c r="D496"/>
  <c r="C496" s="1"/>
  <c r="D498"/>
  <c r="C498" s="1"/>
  <c r="D500"/>
  <c r="C500" s="1"/>
  <c r="D502"/>
  <c r="C502" s="1"/>
  <c r="D505"/>
  <c r="C505" s="1"/>
  <c r="D662"/>
  <c r="C662" s="1"/>
  <c r="D718"/>
  <c r="C718" s="1"/>
  <c r="G806"/>
  <c r="D808"/>
  <c r="C808" s="1"/>
  <c r="J874"/>
  <c r="D884"/>
  <c r="C884" s="1"/>
  <c r="D887"/>
  <c r="C887" s="1"/>
  <c r="D889"/>
  <c r="C889" s="1"/>
  <c r="D891"/>
  <c r="C891" s="1"/>
  <c r="G892"/>
  <c r="D894"/>
  <c r="C894" s="1"/>
  <c r="E338"/>
  <c r="D339"/>
  <c r="C339" s="1"/>
  <c r="E490"/>
  <c r="D491"/>
  <c r="C491" s="1"/>
  <c r="D807"/>
  <c r="C807" s="1"/>
  <c r="E806"/>
  <c r="D880"/>
  <c r="C880" s="1"/>
  <c r="E879"/>
  <c r="E1086"/>
  <c r="D1087"/>
  <c r="C1087" s="1"/>
  <c r="D75"/>
  <c r="E74"/>
  <c r="D111"/>
  <c r="C111" s="1"/>
  <c r="E106"/>
  <c r="E83"/>
  <c r="D88"/>
  <c r="E103"/>
  <c r="D104"/>
  <c r="C104" s="1"/>
  <c r="E135"/>
  <c r="D136"/>
  <c r="C136" s="1"/>
  <c r="E326"/>
  <c r="D327"/>
  <c r="D470"/>
  <c r="C470" s="1"/>
  <c r="E479"/>
  <c r="D480"/>
  <c r="C480" s="1"/>
  <c r="E743"/>
  <c r="D744"/>
  <c r="C744" s="1"/>
  <c r="D778"/>
  <c r="D771"/>
  <c r="C771" s="1"/>
  <c r="D420"/>
  <c r="C420" s="1"/>
  <c r="D1093"/>
  <c r="C1093" s="1"/>
  <c r="D847"/>
  <c r="C847" s="1"/>
  <c r="D90"/>
  <c r="D99"/>
  <c r="I83"/>
  <c r="D92"/>
  <c r="D95"/>
  <c r="D98"/>
  <c r="G106"/>
  <c r="D112"/>
  <c r="C112" s="1"/>
  <c r="G113"/>
  <c r="D116"/>
  <c r="C116" s="1"/>
  <c r="G121"/>
  <c r="D123"/>
  <c r="D128"/>
  <c r="D144"/>
  <c r="C144" s="1"/>
  <c r="D172"/>
  <c r="C172" s="1"/>
  <c r="D174"/>
  <c r="C174" s="1"/>
  <c r="D177"/>
  <c r="C177" s="1"/>
  <c r="D186"/>
  <c r="D191"/>
  <c r="C191" s="1"/>
  <c r="D193"/>
  <c r="C193" s="1"/>
  <c r="D195"/>
  <c r="C195" s="1"/>
  <c r="D198"/>
  <c r="C198" s="1"/>
  <c r="D201"/>
  <c r="C201" s="1"/>
  <c r="D203"/>
  <c r="C203" s="1"/>
  <c r="D205"/>
  <c r="C205" s="1"/>
  <c r="D207"/>
  <c r="C207" s="1"/>
  <c r="D209"/>
  <c r="C209" s="1"/>
  <c r="D217"/>
  <c r="D230"/>
  <c r="C230" s="1"/>
  <c r="D234"/>
  <c r="D238"/>
  <c r="C238" s="1"/>
  <c r="D241"/>
  <c r="C241" s="1"/>
  <c r="D251"/>
  <c r="C251" s="1"/>
  <c r="D260"/>
  <c r="D262"/>
  <c r="D269"/>
  <c r="C269" s="1"/>
  <c r="D278"/>
  <c r="C278" s="1"/>
  <c r="D282"/>
  <c r="C282" s="1"/>
  <c r="G306"/>
  <c r="D309"/>
  <c r="C309" s="1"/>
  <c r="G313"/>
  <c r="D315"/>
  <c r="H359"/>
  <c r="G447"/>
  <c r="D451"/>
  <c r="D453"/>
  <c r="D455"/>
  <c r="D457"/>
  <c r="D459"/>
  <c r="D461"/>
  <c r="D464"/>
  <c r="D472"/>
  <c r="C472" s="1"/>
  <c r="D474"/>
  <c r="C474" s="1"/>
  <c r="I479"/>
  <c r="D484"/>
  <c r="C484" s="1"/>
  <c r="H492"/>
  <c r="F806"/>
  <c r="J806"/>
  <c r="D859"/>
  <c r="I874"/>
  <c r="D878"/>
  <c r="C878" s="1"/>
  <c r="H881"/>
  <c r="F892"/>
  <c r="J892"/>
  <c r="E854"/>
  <c r="J45"/>
  <c r="J44" s="1"/>
  <c r="I45"/>
  <c r="I44" s="1"/>
  <c r="H45"/>
  <c r="H44" s="1"/>
  <c r="G45"/>
  <c r="G44" s="1"/>
  <c r="F45"/>
  <c r="F44" s="1"/>
  <c r="E45"/>
  <c r="J35"/>
  <c r="J34" s="1"/>
  <c r="I35"/>
  <c r="I34" s="1"/>
  <c r="H35"/>
  <c r="H34" s="1"/>
  <c r="G35"/>
  <c r="G34" s="1"/>
  <c r="F35"/>
  <c r="F34" s="1"/>
  <c r="E35"/>
  <c r="J15"/>
  <c r="J14" s="1"/>
  <c r="I15"/>
  <c r="I14" s="1"/>
  <c r="H15"/>
  <c r="H14" s="1"/>
  <c r="G15"/>
  <c r="G14" s="1"/>
  <c r="F15"/>
  <c r="F14" s="1"/>
  <c r="E15"/>
  <c r="J13"/>
  <c r="I13"/>
  <c r="H13"/>
  <c r="G13"/>
  <c r="F13"/>
  <c r="E13"/>
  <c r="J12"/>
  <c r="I12"/>
  <c r="H12"/>
  <c r="G12"/>
  <c r="F12"/>
  <c r="E12"/>
  <c r="J161"/>
  <c r="J137" s="1"/>
  <c r="I161"/>
  <c r="I137" s="1"/>
  <c r="H161"/>
  <c r="H137" s="1"/>
  <c r="G161"/>
  <c r="G137" s="1"/>
  <c r="F161"/>
  <c r="F137" s="1"/>
  <c r="E161"/>
  <c r="F11" l="1"/>
  <c r="F10" s="1"/>
  <c r="J11"/>
  <c r="J10" s="1"/>
  <c r="J358"/>
  <c r="J774"/>
  <c r="E11"/>
  <c r="I11"/>
  <c r="I10" s="1"/>
  <c r="D479"/>
  <c r="D1086"/>
  <c r="C1086" s="1"/>
  <c r="D812"/>
  <c r="C812" s="1"/>
  <c r="D874"/>
  <c r="C874" s="1"/>
  <c r="D492"/>
  <c r="D385"/>
  <c r="C385" s="1"/>
  <c r="D113"/>
  <c r="D467"/>
  <c r="C467" s="1"/>
  <c r="D320"/>
  <c r="D306"/>
  <c r="C306" s="1"/>
  <c r="D513"/>
  <c r="C513" s="1"/>
  <c r="D390"/>
  <c r="C390" s="1"/>
  <c r="H11"/>
  <c r="H10" s="1"/>
  <c r="E14"/>
  <c r="D15"/>
  <c r="C15" s="1"/>
  <c r="D326"/>
  <c r="D338"/>
  <c r="C338" s="1"/>
  <c r="D335"/>
  <c r="D1069"/>
  <c r="C1069" s="1"/>
  <c r="D74"/>
  <c r="D879"/>
  <c r="C879" s="1"/>
  <c r="D35"/>
  <c r="E34"/>
  <c r="D743"/>
  <c r="D135"/>
  <c r="C135" s="1"/>
  <c r="D83"/>
  <c r="D490"/>
  <c r="C490" s="1"/>
  <c r="D741"/>
  <c r="C741" s="1"/>
  <c r="D161"/>
  <c r="D137" s="1"/>
  <c r="G11"/>
  <c r="G10" s="1"/>
  <c r="E137"/>
  <c r="D45"/>
  <c r="C45" s="1"/>
  <c r="E44"/>
  <c r="D103"/>
  <c r="C103" s="1"/>
  <c r="D106"/>
  <c r="C106" s="1"/>
  <c r="D806"/>
  <c r="C806" s="1"/>
  <c r="D1071"/>
  <c r="C1071" s="1"/>
  <c r="D394"/>
  <c r="C394" s="1"/>
  <c r="D359"/>
  <c r="C359" s="1"/>
  <c r="D133"/>
  <c r="D892"/>
  <c r="C892" s="1"/>
  <c r="D447"/>
  <c r="D313"/>
  <c r="D121"/>
  <c r="D399"/>
  <c r="C399" s="1"/>
  <c r="D854"/>
  <c r="D12"/>
  <c r="C12" s="1"/>
  <c r="D13"/>
  <c r="C13" s="1"/>
  <c r="N161"/>
  <c r="I1099"/>
  <c r="I1098" s="1"/>
  <c r="H1099"/>
  <c r="H1098" s="1"/>
  <c r="G1099"/>
  <c r="G1098" s="1"/>
  <c r="F1099"/>
  <c r="F1098" s="1"/>
  <c r="E1099"/>
  <c r="R1099"/>
  <c r="R1098" s="1"/>
  <c r="N336"/>
  <c r="C336" s="1"/>
  <c r="C161" l="1"/>
  <c r="J8"/>
  <c r="E10"/>
  <c r="N335"/>
  <c r="C335" s="1"/>
  <c r="D34"/>
  <c r="D1099"/>
  <c r="C1099" s="1"/>
  <c r="E1098"/>
  <c r="D44"/>
  <c r="C44" s="1"/>
  <c r="D14"/>
  <c r="D11"/>
  <c r="C11" s="1"/>
  <c r="R409"/>
  <c r="I409"/>
  <c r="H409"/>
  <c r="G409"/>
  <c r="F409"/>
  <c r="E409"/>
  <c r="N408"/>
  <c r="N405" s="1"/>
  <c r="I408"/>
  <c r="H408"/>
  <c r="G408"/>
  <c r="F408"/>
  <c r="E408"/>
  <c r="R408"/>
  <c r="R405" s="1"/>
  <c r="I1074"/>
  <c r="I1073" s="1"/>
  <c r="H1074"/>
  <c r="H1073" s="1"/>
  <c r="H774" s="1"/>
  <c r="G1074"/>
  <c r="G1073" s="1"/>
  <c r="F1074"/>
  <c r="F1073" s="1"/>
  <c r="E1074"/>
  <c r="R626"/>
  <c r="I626"/>
  <c r="I515" s="1"/>
  <c r="H626"/>
  <c r="H515" s="1"/>
  <c r="G626"/>
  <c r="G515" s="1"/>
  <c r="F626"/>
  <c r="F515" s="1"/>
  <c r="E626"/>
  <c r="F405" l="1"/>
  <c r="I405"/>
  <c r="D10"/>
  <c r="D408"/>
  <c r="C408" s="1"/>
  <c r="E405"/>
  <c r="D1098"/>
  <c r="C1098" s="1"/>
  <c r="H405"/>
  <c r="D626"/>
  <c r="C626" s="1"/>
  <c r="E515"/>
  <c r="E1073"/>
  <c r="D1074"/>
  <c r="C1074" s="1"/>
  <c r="G405"/>
  <c r="D409"/>
  <c r="C409" s="1"/>
  <c r="I882"/>
  <c r="I881" s="1"/>
  <c r="I774" s="1"/>
  <c r="G882"/>
  <c r="G881" s="1"/>
  <c r="G774" s="1"/>
  <c r="F882"/>
  <c r="F881" s="1"/>
  <c r="F774" s="1"/>
  <c r="E882"/>
  <c r="D515" l="1"/>
  <c r="D405"/>
  <c r="C405" s="1"/>
  <c r="E881"/>
  <c r="E774" s="1"/>
  <c r="D882"/>
  <c r="C882" s="1"/>
  <c r="D1073"/>
  <c r="C1073" s="1"/>
  <c r="R727"/>
  <c r="R726" s="1"/>
  <c r="N727"/>
  <c r="N726" s="1"/>
  <c r="I727"/>
  <c r="I726" s="1"/>
  <c r="G727"/>
  <c r="G726" s="1"/>
  <c r="F727"/>
  <c r="F726" s="1"/>
  <c r="E727"/>
  <c r="N423"/>
  <c r="C423" s="1"/>
  <c r="N831"/>
  <c r="C831" s="1"/>
  <c r="N830"/>
  <c r="C830" s="1"/>
  <c r="N829"/>
  <c r="C829" s="1"/>
  <c r="I833"/>
  <c r="I415" s="1"/>
  <c r="G833"/>
  <c r="G415" s="1"/>
  <c r="E833"/>
  <c r="N828" l="1"/>
  <c r="C828" s="1"/>
  <c r="E415"/>
  <c r="D833"/>
  <c r="C833" s="1"/>
  <c r="E726"/>
  <c r="D727"/>
  <c r="C727" s="1"/>
  <c r="N422"/>
  <c r="C422" s="1"/>
  <c r="D881"/>
  <c r="V828" l="1"/>
  <c r="D774"/>
  <c r="D726"/>
  <c r="C726" s="1"/>
  <c r="D415"/>
  <c r="C415" s="1"/>
  <c r="L647"/>
  <c r="C647" s="1"/>
  <c r="I478"/>
  <c r="H478"/>
  <c r="G478"/>
  <c r="F478"/>
  <c r="E478"/>
  <c r="I477"/>
  <c r="H477"/>
  <c r="H469" s="1"/>
  <c r="G477"/>
  <c r="F477"/>
  <c r="E477"/>
  <c r="F469" l="1"/>
  <c r="I469"/>
  <c r="L515"/>
  <c r="G469"/>
  <c r="D478"/>
  <c r="C478" s="1"/>
  <c r="D477"/>
  <c r="C477" s="1"/>
  <c r="E469"/>
  <c r="N883"/>
  <c r="C883" s="1"/>
  <c r="I765"/>
  <c r="I757" s="1"/>
  <c r="H765"/>
  <c r="H757" s="1"/>
  <c r="H358" s="1"/>
  <c r="H8" s="1"/>
  <c r="G765"/>
  <c r="G757" s="1"/>
  <c r="F765"/>
  <c r="F757" s="1"/>
  <c r="E765"/>
  <c r="S99"/>
  <c r="R476"/>
  <c r="R469" s="1"/>
  <c r="N476"/>
  <c r="R448"/>
  <c r="N448"/>
  <c r="L254"/>
  <c r="C254" s="1"/>
  <c r="L236"/>
  <c r="C236" s="1"/>
  <c r="R583"/>
  <c r="C583" s="1"/>
  <c r="N187"/>
  <c r="C187" s="1"/>
  <c r="N260"/>
  <c r="C260" s="1"/>
  <c r="N132"/>
  <c r="C132" s="1"/>
  <c r="R684"/>
  <c r="N233"/>
  <c r="C233" s="1"/>
  <c r="R225"/>
  <c r="C225" s="1"/>
  <c r="R160"/>
  <c r="C160" s="1"/>
  <c r="N487"/>
  <c r="N485"/>
  <c r="C485" s="1"/>
  <c r="N482"/>
  <c r="C482" s="1"/>
  <c r="N35"/>
  <c r="C35" s="1"/>
  <c r="N31"/>
  <c r="C31" s="1"/>
  <c r="N341"/>
  <c r="C341" s="1"/>
  <c r="N752"/>
  <c r="C752" s="1"/>
  <c r="R327"/>
  <c r="R326" s="1"/>
  <c r="N327"/>
  <c r="R746"/>
  <c r="R743" s="1"/>
  <c r="N746"/>
  <c r="R323"/>
  <c r="N323"/>
  <c r="R322"/>
  <c r="N322"/>
  <c r="R321"/>
  <c r="N321"/>
  <c r="N737"/>
  <c r="C737" s="1"/>
  <c r="N735"/>
  <c r="C735" s="1"/>
  <c r="N734"/>
  <c r="C734" s="1"/>
  <c r="R315"/>
  <c r="N315"/>
  <c r="R314"/>
  <c r="N314"/>
  <c r="R725"/>
  <c r="R722" s="1"/>
  <c r="N725"/>
  <c r="N297"/>
  <c r="C297" s="1"/>
  <c r="R293"/>
  <c r="C293" s="1"/>
  <c r="N291"/>
  <c r="C291" s="1"/>
  <c r="N270"/>
  <c r="C270" s="1"/>
  <c r="R234"/>
  <c r="C234" s="1"/>
  <c r="R178"/>
  <c r="N178"/>
  <c r="N554"/>
  <c r="C554" s="1"/>
  <c r="R552"/>
  <c r="N552"/>
  <c r="N551"/>
  <c r="C551" s="1"/>
  <c r="R521"/>
  <c r="N521"/>
  <c r="N141"/>
  <c r="C141" s="1"/>
  <c r="R134"/>
  <c r="R133" s="1"/>
  <c r="N134"/>
  <c r="N504"/>
  <c r="C504" s="1"/>
  <c r="R128"/>
  <c r="C128" s="1"/>
  <c r="R494"/>
  <c r="N494"/>
  <c r="R495"/>
  <c r="C495" s="1"/>
  <c r="N124"/>
  <c r="C124" s="1"/>
  <c r="R123"/>
  <c r="N123"/>
  <c r="N122"/>
  <c r="C122" s="1"/>
  <c r="R487"/>
  <c r="N119"/>
  <c r="C119" s="1"/>
  <c r="N115"/>
  <c r="C115" s="1"/>
  <c r="N82"/>
  <c r="C82" s="1"/>
  <c r="N80"/>
  <c r="C80" s="1"/>
  <c r="N66"/>
  <c r="C66" s="1"/>
  <c r="R64"/>
  <c r="C64" s="1"/>
  <c r="N63"/>
  <c r="C63" s="1"/>
  <c r="N53"/>
  <c r="C53" s="1"/>
  <c r="N52"/>
  <c r="C52" s="1"/>
  <c r="N51"/>
  <c r="C51" s="1"/>
  <c r="N42"/>
  <c r="C42" s="1"/>
  <c r="N43"/>
  <c r="C43" s="1"/>
  <c r="N29"/>
  <c r="C29" s="1"/>
  <c r="N28"/>
  <c r="C28" s="1"/>
  <c r="N27"/>
  <c r="C27" s="1"/>
  <c r="N26"/>
  <c r="C26" s="1"/>
  <c r="N21"/>
  <c r="C21" s="1"/>
  <c r="N364"/>
  <c r="C364" s="1"/>
  <c r="R246"/>
  <c r="C246" s="1"/>
  <c r="C262"/>
  <c r="N302"/>
  <c r="C302" s="1"/>
  <c r="N245"/>
  <c r="C245" s="1"/>
  <c r="N244"/>
  <c r="C244" s="1"/>
  <c r="N164"/>
  <c r="C164" s="1"/>
  <c r="N165"/>
  <c r="C165" s="1"/>
  <c r="N705"/>
  <c r="C705" s="1"/>
  <c r="N287"/>
  <c r="C287" s="1"/>
  <c r="P217"/>
  <c r="C217" s="1"/>
  <c r="N286"/>
  <c r="R286"/>
  <c r="N294"/>
  <c r="C294" s="1"/>
  <c r="N271"/>
  <c r="C271" s="1"/>
  <c r="N167"/>
  <c r="C167" s="1"/>
  <c r="N166"/>
  <c r="C166" s="1"/>
  <c r="R300"/>
  <c r="C300" s="1"/>
  <c r="N684"/>
  <c r="S454"/>
  <c r="R454"/>
  <c r="N454"/>
  <c r="S453"/>
  <c r="R453"/>
  <c r="N453"/>
  <c r="R450"/>
  <c r="P450"/>
  <c r="N450"/>
  <c r="R452"/>
  <c r="P452"/>
  <c r="N452"/>
  <c r="R354"/>
  <c r="C354" s="1"/>
  <c r="R352"/>
  <c r="C352" s="1"/>
  <c r="P186"/>
  <c r="R186"/>
  <c r="N186"/>
  <c r="R516"/>
  <c r="C516" s="1"/>
  <c r="R637"/>
  <c r="N637"/>
  <c r="R923"/>
  <c r="C923" s="1"/>
  <c r="R900"/>
  <c r="C900" s="1"/>
  <c r="N429"/>
  <c r="C429" s="1"/>
  <c r="R489"/>
  <c r="R488" s="1"/>
  <c r="N489"/>
  <c r="R486"/>
  <c r="N486"/>
  <c r="R801"/>
  <c r="R799" s="1"/>
  <c r="N801"/>
  <c r="R784"/>
  <c r="R778" s="1"/>
  <c r="N784"/>
  <c r="L380"/>
  <c r="C380" s="1"/>
  <c r="N791"/>
  <c r="C791" s="1"/>
  <c r="N779"/>
  <c r="C779" s="1"/>
  <c r="N434"/>
  <c r="C434" s="1"/>
  <c r="R1096"/>
  <c r="R1095" s="1"/>
  <c r="N1096"/>
  <c r="N33"/>
  <c r="C33" s="1"/>
  <c r="N805"/>
  <c r="C805" s="1"/>
  <c r="N540"/>
  <c r="C540" s="1"/>
  <c r="R964"/>
  <c r="N964"/>
  <c r="L1056"/>
  <c r="C1056" s="1"/>
  <c r="R57"/>
  <c r="R56" s="1"/>
  <c r="N57"/>
  <c r="N750"/>
  <c r="C750" s="1"/>
  <c r="N751"/>
  <c r="C751" s="1"/>
  <c r="N75"/>
  <c r="C75" s="1"/>
  <c r="R915"/>
  <c r="N915"/>
  <c r="R550"/>
  <c r="N550"/>
  <c r="N525"/>
  <c r="C525" s="1"/>
  <c r="N85"/>
  <c r="R85"/>
  <c r="N86"/>
  <c r="R86"/>
  <c r="N87"/>
  <c r="C87" s="1"/>
  <c r="N88"/>
  <c r="R88"/>
  <c r="N89"/>
  <c r="R89"/>
  <c r="N90"/>
  <c r="C90" s="1"/>
  <c r="N92"/>
  <c r="R92"/>
  <c r="S92"/>
  <c r="N94"/>
  <c r="P94"/>
  <c r="R94"/>
  <c r="N93"/>
  <c r="R93"/>
  <c r="S93"/>
  <c r="N95"/>
  <c r="R95"/>
  <c r="S95"/>
  <c r="N96"/>
  <c r="P96"/>
  <c r="R96"/>
  <c r="S96"/>
  <c r="P97"/>
  <c r="R97"/>
  <c r="N98"/>
  <c r="R98"/>
  <c r="N99"/>
  <c r="R99"/>
  <c r="N100"/>
  <c r="R100"/>
  <c r="S100"/>
  <c r="N101"/>
  <c r="R101"/>
  <c r="S101"/>
  <c r="R449"/>
  <c r="C449" s="1"/>
  <c r="N451"/>
  <c r="P451"/>
  <c r="S451"/>
  <c r="N455"/>
  <c r="R455"/>
  <c r="N456"/>
  <c r="R456"/>
  <c r="N457"/>
  <c r="R457"/>
  <c r="N458"/>
  <c r="P458"/>
  <c r="R458"/>
  <c r="N459"/>
  <c r="R459"/>
  <c r="N460"/>
  <c r="R460"/>
  <c r="S460"/>
  <c r="N461"/>
  <c r="R461"/>
  <c r="N462"/>
  <c r="P462"/>
  <c r="R462"/>
  <c r="N463"/>
  <c r="P463"/>
  <c r="R463"/>
  <c r="S463"/>
  <c r="N464"/>
  <c r="P464"/>
  <c r="R464"/>
  <c r="S464"/>
  <c r="N465"/>
  <c r="C465" s="1"/>
  <c r="N466"/>
  <c r="C466" s="1"/>
  <c r="N855"/>
  <c r="P855"/>
  <c r="R855"/>
  <c r="S855"/>
  <c r="N856"/>
  <c r="P856"/>
  <c r="R856"/>
  <c r="S856"/>
  <c r="N857"/>
  <c r="P857"/>
  <c r="R857"/>
  <c r="S857"/>
  <c r="N858"/>
  <c r="P858"/>
  <c r="R858"/>
  <c r="S858"/>
  <c r="N859"/>
  <c r="P859"/>
  <c r="R859"/>
  <c r="S859"/>
  <c r="N860"/>
  <c r="R860"/>
  <c r="S860"/>
  <c r="N861"/>
  <c r="R861"/>
  <c r="S861"/>
  <c r="N862"/>
  <c r="P862"/>
  <c r="R862"/>
  <c r="N864"/>
  <c r="C864" s="1"/>
  <c r="N865"/>
  <c r="R865"/>
  <c r="S865"/>
  <c r="N866"/>
  <c r="R866"/>
  <c r="S866"/>
  <c r="N867"/>
  <c r="R867"/>
  <c r="S867"/>
  <c r="N868"/>
  <c r="R868"/>
  <c r="S868"/>
  <c r="N869"/>
  <c r="R869"/>
  <c r="S869"/>
  <c r="C494" l="1"/>
  <c r="C315"/>
  <c r="I358"/>
  <c r="I8" s="1"/>
  <c r="C123"/>
  <c r="C134"/>
  <c r="C725"/>
  <c r="C448"/>
  <c r="C457"/>
  <c r="C99"/>
  <c r="C97"/>
  <c r="C86"/>
  <c r="C684"/>
  <c r="F358"/>
  <c r="F8" s="1"/>
  <c r="C96"/>
  <c r="C92"/>
  <c r="C550"/>
  <c r="C637"/>
  <c r="C452"/>
  <c r="C552"/>
  <c r="C314"/>
  <c r="C476"/>
  <c r="C868"/>
  <c r="C861"/>
  <c r="C462"/>
  <c r="C867"/>
  <c r="C860"/>
  <c r="C459"/>
  <c r="C451"/>
  <c r="C101"/>
  <c r="C95"/>
  <c r="C89"/>
  <c r="C461"/>
  <c r="C456"/>
  <c r="C98"/>
  <c r="C85"/>
  <c r="C286"/>
  <c r="C178"/>
  <c r="C321"/>
  <c r="C323"/>
  <c r="C327"/>
  <c r="C487"/>
  <c r="C859"/>
  <c r="C857"/>
  <c r="C855"/>
  <c r="C57"/>
  <c r="C489"/>
  <c r="C186"/>
  <c r="C450"/>
  <c r="C866"/>
  <c r="C458"/>
  <c r="C100"/>
  <c r="C93"/>
  <c r="C915"/>
  <c r="C964"/>
  <c r="C453"/>
  <c r="C858"/>
  <c r="C856"/>
  <c r="C1096"/>
  <c r="C801"/>
  <c r="C869"/>
  <c r="C865"/>
  <c r="C862"/>
  <c r="C464"/>
  <c r="C463"/>
  <c r="C460"/>
  <c r="C94"/>
  <c r="C88"/>
  <c r="C784"/>
  <c r="C486"/>
  <c r="C454"/>
  <c r="C521"/>
  <c r="C322"/>
  <c r="C746"/>
  <c r="R121"/>
  <c r="R479"/>
  <c r="P137"/>
  <c r="R313"/>
  <c r="N898"/>
  <c r="N749"/>
  <c r="C749" s="1"/>
  <c r="N32"/>
  <c r="C32" s="1"/>
  <c r="V32" s="1"/>
  <c r="N778"/>
  <c r="C778" s="1"/>
  <c r="N113"/>
  <c r="C113" s="1"/>
  <c r="N722"/>
  <c r="C722" s="1"/>
  <c r="N447"/>
  <c r="L898"/>
  <c r="N802"/>
  <c r="C802" s="1"/>
  <c r="N432"/>
  <c r="C432" s="1"/>
  <c r="N428"/>
  <c r="C428" s="1"/>
  <c r="N41"/>
  <c r="C41" s="1"/>
  <c r="N61"/>
  <c r="N81"/>
  <c r="C81" s="1"/>
  <c r="V81" s="1"/>
  <c r="N121"/>
  <c r="N515"/>
  <c r="N743"/>
  <c r="C743" s="1"/>
  <c r="N479"/>
  <c r="C479" s="1"/>
  <c r="D469"/>
  <c r="R854"/>
  <c r="R83"/>
  <c r="N83"/>
  <c r="R898"/>
  <c r="R342"/>
  <c r="C342" s="1"/>
  <c r="N49"/>
  <c r="C49" s="1"/>
  <c r="N492"/>
  <c r="N133"/>
  <c r="C133" s="1"/>
  <c r="V133" s="1"/>
  <c r="N340"/>
  <c r="C340" s="1"/>
  <c r="N74"/>
  <c r="C74" s="1"/>
  <c r="V74" s="1"/>
  <c r="L362"/>
  <c r="N79"/>
  <c r="C79" s="1"/>
  <c r="N137"/>
  <c r="N313"/>
  <c r="N731"/>
  <c r="C731" s="1"/>
  <c r="N34"/>
  <c r="C34" s="1"/>
  <c r="R137"/>
  <c r="N131"/>
  <c r="C131" s="1"/>
  <c r="L137"/>
  <c r="N469"/>
  <c r="N881"/>
  <c r="C881" s="1"/>
  <c r="P854"/>
  <c r="P774" s="1"/>
  <c r="S854"/>
  <c r="S774" s="1"/>
  <c r="P83"/>
  <c r="P447"/>
  <c r="P358" s="1"/>
  <c r="R320"/>
  <c r="G358"/>
  <c r="G8" s="1"/>
  <c r="R515"/>
  <c r="N362"/>
  <c r="R61"/>
  <c r="N854"/>
  <c r="N56"/>
  <c r="C56" s="1"/>
  <c r="N1095"/>
  <c r="C1095" s="1"/>
  <c r="N799"/>
  <c r="C799" s="1"/>
  <c r="N488"/>
  <c r="C488" s="1"/>
  <c r="N14"/>
  <c r="C14" s="1"/>
  <c r="N65"/>
  <c r="C65" s="1"/>
  <c r="V65" s="1"/>
  <c r="N320"/>
  <c r="N326"/>
  <c r="C326" s="1"/>
  <c r="N30"/>
  <c r="C30" s="1"/>
  <c r="V30" s="1"/>
  <c r="D765"/>
  <c r="C765" s="1"/>
  <c r="E757"/>
  <c r="E358" s="1"/>
  <c r="E8" s="1"/>
  <c r="R492"/>
  <c r="R447"/>
  <c r="S83"/>
  <c r="S10" s="1"/>
  <c r="S455"/>
  <c r="C455" s="1"/>
  <c r="V425"/>
  <c r="V435"/>
  <c r="V490"/>
  <c r="V510"/>
  <c r="V771"/>
  <c r="V841"/>
  <c r="V845"/>
  <c r="V892"/>
  <c r="V1091"/>
  <c r="V72"/>
  <c r="V135"/>
  <c r="V36"/>
  <c r="V54"/>
  <c r="V335"/>
  <c r="V383"/>
  <c r="V399"/>
  <c r="V513"/>
  <c r="V816"/>
  <c r="V415"/>
  <c r="V839"/>
  <c r="V879"/>
  <c r="V895"/>
  <c r="V1075"/>
  <c r="V1089"/>
  <c r="V1113"/>
  <c r="C515" l="1"/>
  <c r="C313"/>
  <c r="V313" s="1"/>
  <c r="C121"/>
  <c r="V799"/>
  <c r="C83"/>
  <c r="C469"/>
  <c r="V106" s="1"/>
  <c r="V340"/>
  <c r="L774"/>
  <c r="C898"/>
  <c r="L10"/>
  <c r="C137"/>
  <c r="L358"/>
  <c r="C362"/>
  <c r="C61"/>
  <c r="C854"/>
  <c r="C320"/>
  <c r="C492"/>
  <c r="P10"/>
  <c r="P8" s="1"/>
  <c r="R774"/>
  <c r="R358"/>
  <c r="V113"/>
  <c r="R10"/>
  <c r="N358"/>
  <c r="D757"/>
  <c r="N10"/>
  <c r="N774"/>
  <c r="S447"/>
  <c r="S358" s="1"/>
  <c r="S8" s="1"/>
  <c r="V331"/>
  <c r="V67"/>
  <c r="V59"/>
  <c r="V394"/>
  <c r="V413"/>
  <c r="V326"/>
  <c r="V79"/>
  <c r="V420"/>
  <c r="V306"/>
  <c r="V311"/>
  <c r="V131"/>
  <c r="V103"/>
  <c r="V488"/>
  <c r="V338"/>
  <c r="V76"/>
  <c r="V11"/>
  <c r="V38"/>
  <c r="V56"/>
  <c r="V324"/>
  <c r="V49"/>
  <c r="V69"/>
  <c r="V328"/>
  <c r="V34"/>
  <c r="V316"/>
  <c r="V41"/>
  <c r="V44"/>
  <c r="C10" l="1"/>
  <c r="V320"/>
  <c r="D358"/>
  <c r="C757"/>
  <c r="L8"/>
  <c r="C774"/>
  <c r="C447"/>
  <c r="R8"/>
  <c r="V61"/>
  <c r="N8"/>
  <c r="V121"/>
  <c r="V14"/>
  <c r="V137"/>
  <c r="V342" l="1"/>
  <c r="D8"/>
  <c r="C358"/>
  <c r="C8" s="1"/>
  <c r="V832"/>
  <c r="V83" l="1"/>
</calcChain>
</file>

<file path=xl/sharedStrings.xml><?xml version="1.0" encoding="utf-8"?>
<sst xmlns="http://schemas.openxmlformats.org/spreadsheetml/2006/main" count="2117" uniqueCount="1970">
  <si>
    <t>Итого по Вяземскому городскому поселению Вяземского района Смоленской области</t>
  </si>
  <si>
    <t>Раздел 2. Перечень услуг и (или) работ по капитальному ремонту общего имущества в многоквартирных домах и их стоимость</t>
  </si>
  <si>
    <t>Итого по Кармановскому сельскому поселению Гагаринского района Смоленской области</t>
  </si>
  <si>
    <t>другие виды услуг (работ)</t>
  </si>
  <si>
    <t>Виды услуг и (или) работ по капитальному ремонту общего имущества в многоквартирном доме, установленные частью 1 статьи 166 Жилищного кодекса Российской Федерации</t>
  </si>
  <si>
    <t>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</si>
  <si>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ремонт подвальных помещений, относящихся к общему имуществу в МКД</t>
  </si>
  <si>
    <t>руб.</t>
  </si>
  <si>
    <t>ремонт крыши</t>
  </si>
  <si>
    <t>ремонт фасада</t>
  </si>
  <si>
    <t>ед.</t>
  </si>
  <si>
    <t>Г. Вязьма, ул. Ленина, д. 69б</t>
  </si>
  <si>
    <t>Виды услуг и (или) работ по капитальному ремонту общего имущества в многоквартирном доме, установленные статьей 6 областного закона 
от 31 октября 2013 года № 114-з «О регулировании отдельных вопросов в сфере обеспечения своевременного проведения капитального ремонта общего имущества в многоквартирных домах, расположенных на территории Смоленской области»</t>
  </si>
  <si>
    <t>Стоимость капитального ремонта, 
всего</t>
  </si>
  <si>
    <t>ремонт фундамента
МКД</t>
  </si>
  <si>
    <t>Адрес многоквартирного дома 
(далее также - МКД)</t>
  </si>
  <si>
    <t>№  п/п</t>
  </si>
  <si>
    <t>Г. Вязьма, ул. 25 Октября, д. 29</t>
  </si>
  <si>
    <t>кв. м</t>
  </si>
  <si>
    <t>Г. Велиж, ул. Ивановская, д. 9</t>
  </si>
  <si>
    <t>Г. Велиж, ул. Кропоткина, д. 18/12</t>
  </si>
  <si>
    <t>Г. Велиж, ул. Советская, д. 13</t>
  </si>
  <si>
    <t>Г. Велиж, ул. Советская, д. 26</t>
  </si>
  <si>
    <t>Г. Велиж, ул. Энгельса, д. 12</t>
  </si>
  <si>
    <t>Г. Велиж, ул. Энгельса, д. 170</t>
  </si>
  <si>
    <t>2020 год</t>
  </si>
  <si>
    <t>Итого по Смоленской области на 2020-2022 годы</t>
  </si>
  <si>
    <t>С. Хмелита, ул. Парковая, д. 6</t>
  </si>
  <si>
    <t>Итого по Степаниковскому сельскому поселению Вяземского района Смоленской области</t>
  </si>
  <si>
    <t>Дер. Тюхменево, ул. Карьероуправления, д. 12</t>
  </si>
  <si>
    <t>Итого по Семлевскому сельскому поселению Вяземского района Смоленской области</t>
  </si>
  <si>
    <t>С. Семлево, ул. Калинина, д. 17</t>
  </si>
  <si>
    <t>Г. Вязьма, ул. Красноармейское шоссе, д. 19</t>
  </si>
  <si>
    <t>Г. Вязьма, ул. Московская, д. 19</t>
  </si>
  <si>
    <t>Г. Вязьма, ул. Освобождения, д. 1</t>
  </si>
  <si>
    <t>Г. Вязьма, ул. Покровского, д. 3</t>
  </si>
  <si>
    <t>Г. Вязьма, ул. Полины Осипенко, д. 3</t>
  </si>
  <si>
    <t>Г. Вязьма, ул. Юбилейная, д. 15</t>
  </si>
  <si>
    <t>Г. Вязьма, ул. Ямская, д. 43</t>
  </si>
  <si>
    <t>Г. Вязьма, пер. Дзержинского, д. 4</t>
  </si>
  <si>
    <t>Г. Вязьма, пер. Дзержинского, д. 6</t>
  </si>
  <si>
    <t>Г. Вязьма, ул. 25 Октября, д. 1</t>
  </si>
  <si>
    <t>Г. Вязьма, ул. 25 Октября, д. 12</t>
  </si>
  <si>
    <t>Г. Вязьма, ул. 25 Октября, д. 23</t>
  </si>
  <si>
    <t>Г. Вязьма, ул. 25 Октября, д. 25</t>
  </si>
  <si>
    <t>Г. Вязьма, ул. 25 Октября, д. 3</t>
  </si>
  <si>
    <t>Г. Вязьма, ул. 25 Октября, д. 6</t>
  </si>
  <si>
    <t>Г. Вязьма, ул. 25 Октября, д. 8</t>
  </si>
  <si>
    <t>Г. Вязьма, ул. Заслонова, д. 9</t>
  </si>
  <si>
    <t>Г. Вязьма, ул. Кирова, д. 8</t>
  </si>
  <si>
    <t>Г. Вязьма, ул. Красноармейское шоссе, д. 15</t>
  </si>
  <si>
    <t>Г. Вязьма, ул. Кронштадтская, д. 1</t>
  </si>
  <si>
    <t>Г. Вязьма, ул. Ленина, д. 12</t>
  </si>
  <si>
    <t>Г. Вязьма, ул. Ленина, д. 4</t>
  </si>
  <si>
    <t>Г. Вязьма, ул. Ленина, д. 46</t>
  </si>
  <si>
    <t>Г. Вязьма, ул. Ленина, д. 61</t>
  </si>
  <si>
    <t>Г. Вязьма, ул. Ленина, д. 7</t>
  </si>
  <si>
    <t>Г. Вязьма, ул. Машинистов, д. 11</t>
  </si>
  <si>
    <t>Г. Вязьма, ул. Машинистов, д. 5</t>
  </si>
  <si>
    <t>Г. Вязьма, ул. Машинистов, д. 7</t>
  </si>
  <si>
    <t>Г. Вязьма, ул. Машинистов, д. 9</t>
  </si>
  <si>
    <t>Г. Вязьма, ул. Московская, д. 22</t>
  </si>
  <si>
    <t>Г. Вязьма, ул. Парижской Коммуны, д. 15</t>
  </si>
  <si>
    <t>Г. Вязьма, ул. Парижской Коммуны, д. 5</t>
  </si>
  <si>
    <t>Г. Вязьма, ул. Парижской Коммуны, д. 7</t>
  </si>
  <si>
    <t>Г. Вязьма, ул. Парижской Коммуны, д. 8</t>
  </si>
  <si>
    <t>Г. Вязьма, ул. Парижской Коммуны, д. 9</t>
  </si>
  <si>
    <t>Г. Вязьма, ул. Полевая, д. 1</t>
  </si>
  <si>
    <t>Г. Вязьма, ул. Полины Осипенко, д. 2б</t>
  </si>
  <si>
    <t>Г. Вязьма, ул. Просвещения, д. 7</t>
  </si>
  <si>
    <t>Г. Вязьма, ул. Репина, д. 11</t>
  </si>
  <si>
    <t>Г. Вязьма, ул. Репина, д. 14</t>
  </si>
  <si>
    <t>Г. Вязьма, ул. Репина, д. 9</t>
  </si>
  <si>
    <t>Г. Вязьма, ул. Смоленская, д. 19</t>
  </si>
  <si>
    <t>Г. Вязьма, ул. Фрунзе, д. 5</t>
  </si>
  <si>
    <t>Г. Гагарин, пр. Сельхозтехника, д. 2</t>
  </si>
  <si>
    <t>Г. Гагарин, ул. 26 Бакинских комиссаров, д. 2</t>
  </si>
  <si>
    <t>Г. Гагарин, ул. 50 лет ВЛКСМ, д. 14</t>
  </si>
  <si>
    <t>Итого по Гагаринскому городскому поселению Гагаринского района Смоленской области</t>
  </si>
  <si>
    <t>Пос. Благодатное, д. 11</t>
  </si>
  <si>
    <t>С. Карманово, ул. Пролетарская, д. 12</t>
  </si>
  <si>
    <t xml:space="preserve">С. Карманово, ул. Самохина, д. 7 </t>
  </si>
  <si>
    <t>С. Карманово, ул. Советская, д. 50</t>
  </si>
  <si>
    <t>С. Карманово, ул. Советская, д. 50а</t>
  </si>
  <si>
    <t>С. Карманово, ул. Советская, д. 52</t>
  </si>
  <si>
    <t>Итого по Глинковскому сельскому поселению Глинковского района Смоленской области</t>
  </si>
  <si>
    <t>С. Глинка, пер. Смоленский, д. 1а</t>
  </si>
  <si>
    <t>С. Глинка, пер. Смоленский, д. 2</t>
  </si>
  <si>
    <t>С. Глинка, ул. Ленина, д. 16</t>
  </si>
  <si>
    <t>Г. Демидов, пр. Суворовский, д. 12</t>
  </si>
  <si>
    <t>Г. Демидов, ул. Витебская, д. 8</t>
  </si>
  <si>
    <t>Г. Демидов, ул. Советская, д. 72</t>
  </si>
  <si>
    <t>Г. Демидов, ул. Фрадкова, д. 10</t>
  </si>
  <si>
    <t>Г. Демидов, ул. Фрадкова, д. 19</t>
  </si>
  <si>
    <t>Г. Демидов, ул. Хренова, д. 14б</t>
  </si>
  <si>
    <t>Дер. Центральная Усадьба, ул. Акатовская, д. 23</t>
  </si>
  <si>
    <t>Итого по Титовщинскому сельскому поселению Демидовского района Смоленской области</t>
  </si>
  <si>
    <t>Итого по Дорогобужскому городскому поселению Дорогобужского района Смоленской области</t>
  </si>
  <si>
    <t>Г. Дорогобуж, ул. ДОС, д. 4</t>
  </si>
  <si>
    <t>Г. Дорогобуж, ул. Калинина, д. 12</t>
  </si>
  <si>
    <t>Г. Дорогобуж, ул. Мира, д. 10</t>
  </si>
  <si>
    <t>Г. Дорогобуж, ул. Мира, д. 12</t>
  </si>
  <si>
    <t>Г. Дорогобуж, ул. Мира, д. 2</t>
  </si>
  <si>
    <t>Г. Дорогобуж, ул. Мира, д. 26</t>
  </si>
  <si>
    <t>Г. Дорогобуж, ул. Мира, д. 34</t>
  </si>
  <si>
    <t>Г. Дорогобуж, ул. Чистякова, д. 8</t>
  </si>
  <si>
    <t>Итого по Верхнеднепровскому городскому поселению Дорогобужского района Смоленской области</t>
  </si>
  <si>
    <t>Пос. Верхнеднепровский, пер. Днепровский, д. 6</t>
  </si>
  <si>
    <t>Пос. Верхнеднепровский, ул. Комсомольская, д. 3</t>
  </si>
  <si>
    <t>Пос. Верхнеднепровский, ул. Комсомольская, д. 4</t>
  </si>
  <si>
    <t>Пос. Верхнеднепровский, ул. Комсомольская, д. 6</t>
  </si>
  <si>
    <t>Пос. Верхнеднепровский, ул. Молодежная, д. 28</t>
  </si>
  <si>
    <t>Пос. Верхнеднепровский, ул. Молодежная, д. 4</t>
  </si>
  <si>
    <t>Пос. Верхнеднепровский, ул. Молодежная, д. 6</t>
  </si>
  <si>
    <t>Пос. Верхнеднепровский, ул. Советская, д. 11</t>
  </si>
  <si>
    <t>Пос. Верхнеднепровский, ул. Советская, д. 13</t>
  </si>
  <si>
    <t>Пос. Верхнеднепровский, ул. Советская, д. 15</t>
  </si>
  <si>
    <t>Пос. Верхнеднепровский, ул. Советская, д. 17</t>
  </si>
  <si>
    <t>Пос. Верхнеднепровский, ул. Советская, д. 6</t>
  </si>
  <si>
    <t>Пос. Верхнеднепровский, ул. Советская, д. 9</t>
  </si>
  <si>
    <t>Итого по Духовщинскому городскому поселению Духовщинского района Смоленской области</t>
  </si>
  <si>
    <t>Г. Духовщина, ул. Луначарского, д. 13</t>
  </si>
  <si>
    <t>Г. Духовщина, ул. Смоленская, д. 56</t>
  </si>
  <si>
    <t>Г. Ельня, ул. Кировская, д. 9</t>
  </si>
  <si>
    <t>Г. Ельня, ул. Первомайская, д. 14</t>
  </si>
  <si>
    <t>Г. Ельня, ул. Первомайская, д. 47</t>
  </si>
  <si>
    <t>Г. Ельня, ул. Пролетарская, д. 2</t>
  </si>
  <si>
    <t>Г. Ельня, ул. Смоленский большак, д. 24</t>
  </si>
  <si>
    <t>Итого по Ельнинскому городскому поселению Ельнинского района Смоленской области</t>
  </si>
  <si>
    <t>С. Ершичи, ул. Новая, д. 1</t>
  </si>
  <si>
    <t>С. Ершичи, ул. Советская, д. 13</t>
  </si>
  <si>
    <t>Итого по Ершичскому сельскому поселению Ершичского района Смоленской области</t>
  </si>
  <si>
    <t>Пос. Кардымово, ул. Октябрьская, д. 16</t>
  </si>
  <si>
    <t>Дер. Пищулино, ул. Школа-интернат, д. 14</t>
  </si>
  <si>
    <t>Дер. Пищулино, ул. Школа-интернат, д. 15</t>
  </si>
  <si>
    <t>Ст. Духовская, д. 4</t>
  </si>
  <si>
    <t>Итого по Кардымовскому городскому поселению Кардымовского района Смоленской области</t>
  </si>
  <si>
    <t>Пос. Красный, ул. Ленина, д. 16а</t>
  </si>
  <si>
    <t>Итого по Краснинскому городскому поселению Краснинского района Смоленской области</t>
  </si>
  <si>
    <t>Итого по Гусинскому сельскому поселению Краснинского района Смоленской области</t>
  </si>
  <si>
    <t>Дер. Гусино, ул. Молодежная, д. 1</t>
  </si>
  <si>
    <t>Дер. Гусино, ул. Молодежная, д. 4</t>
  </si>
  <si>
    <t>Дер. Гусино, ул. Советская, д. 43</t>
  </si>
  <si>
    <t>Дер. Лонница, ул. Мира, д. 7</t>
  </si>
  <si>
    <t>Дер. Лонница, ул. Центральная, д. 3</t>
  </si>
  <si>
    <t>Итого по Монастырщинскому городскому поселению Монастырщинского района Смоленской области</t>
  </si>
  <si>
    <t>Пос. Монастырщина, тер. Сельхозтехника, д. 15</t>
  </si>
  <si>
    <t>Пос. Монастырщина, ул. Юбилейная, д. 30</t>
  </si>
  <si>
    <t>Итого по Соболевскому сельскому поселению Монастырщинского района Смоленской области</t>
  </si>
  <si>
    <t>Дер. Крапивна, ул. Горького, д. 8</t>
  </si>
  <si>
    <t>Дер. Соболево, д. 24</t>
  </si>
  <si>
    <t>Итого по Новодугинскому сельскому поселению Новодугинского района Смоленской области</t>
  </si>
  <si>
    <t>Итого по Высоковскому сельскому поселению Новодугинского района Смоленской области</t>
  </si>
  <si>
    <t>С. Высокое, ул. Высоковская, д. 46</t>
  </si>
  <si>
    <t>Итого по Починковскому городскому поселению Починковского района Смоленской области</t>
  </si>
  <si>
    <t>Г. Починок, военный гарнизон «Елки-3», д. 201</t>
  </si>
  <si>
    <t>Г. Починок, военный гарнизон «Елки-3», д. 202</t>
  </si>
  <si>
    <t>Г. Починок, военный гарнизон «Елки-3», д. 204</t>
  </si>
  <si>
    <t>Г. Починок, пер. 2-й Советский, д. 5</t>
  </si>
  <si>
    <t>Г. Починок, ул. Кирова, д. 14</t>
  </si>
  <si>
    <t>Г. Починок, ул. Советская, д. 39</t>
  </si>
  <si>
    <t>Г. Починок, ул. Советская, д. 44</t>
  </si>
  <si>
    <t>Г. Починок, ул. Социалистическая, д. 41</t>
  </si>
  <si>
    <t>Г. Починок, ул. Строителей, д. 5</t>
  </si>
  <si>
    <t>Дер. Климщина, д. 66</t>
  </si>
  <si>
    <t>Дер. Климщина, д. 89</t>
  </si>
  <si>
    <t>Дер. Климщина, д. 93</t>
  </si>
  <si>
    <t>Итого по Стодолищенскому сельскому поселению Починковского района Смоленской области</t>
  </si>
  <si>
    <t>Пос. Стодолище, ул. Ленина, д. 27</t>
  </si>
  <si>
    <t>Итого по Рославльскому городскому поселению Рославльского района Смоленской области</t>
  </si>
  <si>
    <t>Г. Рославль, мкрн. 17, д. 13</t>
  </si>
  <si>
    <t>Г. Рославль, мкрн. 15, д. 4</t>
  </si>
  <si>
    <t>Г. Рославль, мкрн. 15, д. 30</t>
  </si>
  <si>
    <t>Г. Рославль, мкрн. 16, д. 10</t>
  </si>
  <si>
    <t>Г. Рославль, мкрн. 16, д. 12</t>
  </si>
  <si>
    <t>Г. Рославль, мкрн. 16, д. 5</t>
  </si>
  <si>
    <t>Г. Рославль, мкрн. 16, д. 8</t>
  </si>
  <si>
    <t>Г. Рославль, пер. 2-й Советский, д. 38</t>
  </si>
  <si>
    <t>Г. Рославль, пос. ТЭЦ, д. 3</t>
  </si>
  <si>
    <t>Г. Рославль, ул. Димитрова, д. 7</t>
  </si>
  <si>
    <t>Г. Рославль, ул. Димитрова, д. 9</t>
  </si>
  <si>
    <t>Г. Рославль, ул. Заводская, д. 40</t>
  </si>
  <si>
    <t>Г. Рославль, ул. Заводская, д. 42</t>
  </si>
  <si>
    <t>Г. Рославль, ул. Заслонова, д. 6</t>
  </si>
  <si>
    <t>Г. Рославль, ул. Каляева, д. 4а</t>
  </si>
  <si>
    <t>Г. Рославль, ул. Каляева, д. 4в</t>
  </si>
  <si>
    <t>Г. Рославль, ул. Красноармейская, д. 100</t>
  </si>
  <si>
    <t>Г. Рославль, ул. Красноармейская, д. 49</t>
  </si>
  <si>
    <t>Г. Рославль, ул. Красина, д. 3</t>
  </si>
  <si>
    <t>Г. Рославль, ул. 2-я Дачная, д. 8</t>
  </si>
  <si>
    <t>Г. Рославль, ул. Ленина, д. 7</t>
  </si>
  <si>
    <t>Г. Рославль, ул. Ленина, д. 9</t>
  </si>
  <si>
    <t>Г. Рославль, ул. Ленина, д. 5</t>
  </si>
  <si>
    <t>Г. Рославль, ул. Ленина, д. 18</t>
  </si>
  <si>
    <t>Г. Рославль, ул. Мичурина, д. 28</t>
  </si>
  <si>
    <t>Г. Рославль, ул. Октябрьская, д. 29</t>
  </si>
  <si>
    <t>Г. Рославль, ул. Октябрьская, д. 32б</t>
  </si>
  <si>
    <t>Г. Рославль, ул. Пушкина, д. 8а</t>
  </si>
  <si>
    <t>Г. Рославль, ул. Чехова, д. 22а</t>
  </si>
  <si>
    <t>Г. Рославль, ул. Ленина, д. 1</t>
  </si>
  <si>
    <t>Г. Рославль, ул. Пролетарская, д. 40</t>
  </si>
  <si>
    <t>Г. Рославль, ул. Пролетарская, д. 42</t>
  </si>
  <si>
    <t>Г. Рославль, ул. Пролетарская, д. 44</t>
  </si>
  <si>
    <t>Г. Рославль, ул. Пролетарская, д. 46</t>
  </si>
  <si>
    <t>Г. Рославль, ул. Пролетарская, д. 58</t>
  </si>
  <si>
    <t>Г. Рославль, ул. Пролетарская, д. 72</t>
  </si>
  <si>
    <t>Г. Рославль, ул. Пролетарская, д. 77</t>
  </si>
  <si>
    <t>Г. Рославль, ул. Пролетарская, д. 92</t>
  </si>
  <si>
    <t>Г. Рославль, ул. Пушкина, д. 24</t>
  </si>
  <si>
    <t>Г. Рославль, ул. Товарная, д. 11</t>
  </si>
  <si>
    <t>Г. Рославль, ул. Урицкого, д. 11б</t>
  </si>
  <si>
    <t>Г. Рославль, ул. Урицкого, д. 13а</t>
  </si>
  <si>
    <t>Г. Рославль, ул. Урицкого, д. 15а</t>
  </si>
  <si>
    <t>Г. Рославль, ул. Урицкого д. 16</t>
  </si>
  <si>
    <t>Итого по 2020 году</t>
  </si>
  <si>
    <t>2021 год</t>
  </si>
  <si>
    <t>Итого по 2021 году</t>
  </si>
  <si>
    <t>2022 год</t>
  </si>
  <si>
    <t>Итого по 2022 году</t>
  </si>
  <si>
    <t>Дер. Козловка, ул. Мира, д. 23</t>
  </si>
  <si>
    <t>Дер. Козловка, ул. Мира, д. 27</t>
  </si>
  <si>
    <t>Дер. Козловка, ул. Мира, д. 29</t>
  </si>
  <si>
    <t>Дер. Козловка, ул. Мира, д. 33</t>
  </si>
  <si>
    <t>Дер. Козловка, ул. Мира, д. 51</t>
  </si>
  <si>
    <t>Дер. Козловка, ул. Мира, д. 54</t>
  </si>
  <si>
    <t>Дер. Козловка, ул. Мира, д. 56</t>
  </si>
  <si>
    <t>С. Остер, ул. Советская, д. 5</t>
  </si>
  <si>
    <t>С. Остер, ул. Советская, д. 6</t>
  </si>
  <si>
    <t>Итого по Остерскому сельскому поселению Рославльского района Смоленской области</t>
  </si>
  <si>
    <t>Итого по Екимовичскому сельскому поселению Рославльского района Смоленской области</t>
  </si>
  <si>
    <t>С. Екимовичи, пер. Школьный, д. 1</t>
  </si>
  <si>
    <t>С. Екимовичи, ул. Ленинская, д. 31</t>
  </si>
  <si>
    <t>Итого по Руднянскому городскому поселению Руднянского района Смоленской области</t>
  </si>
  <si>
    <t>Г. Рудня, пос. Молкомбината, д. 1</t>
  </si>
  <si>
    <t>Г. Рудня, пос. Молкомбината, д. 2</t>
  </si>
  <si>
    <t>Г. Рудня, пос. Молкомбината, д. 26</t>
  </si>
  <si>
    <t>Г. Рудня, пос. Молкомбината, д. 27</t>
  </si>
  <si>
    <t>Г. Рудня, пос. Молкомбината, д. 34</t>
  </si>
  <si>
    <t>Г. Рудня, пос. Молкомбината, д. 37</t>
  </si>
  <si>
    <t>Г. Рудня, пос. Молкомбината, д. 5</t>
  </si>
  <si>
    <t xml:space="preserve">Г. Рудня, ул. Заречная, д. 20 </t>
  </si>
  <si>
    <t>Г. Рудня, ул. Киреева, д. 109</t>
  </si>
  <si>
    <t>Г. Рудня, ул. Киреева, д. 119</t>
  </si>
  <si>
    <t>Г. Рудня, ул. Киреева, д. 68</t>
  </si>
  <si>
    <t>Г. Рудня, ул. Колхозная, д. 26а</t>
  </si>
  <si>
    <t>Г. Рудня, ул. Колхозная, д. 8</t>
  </si>
  <si>
    <t>Г. Рудня, ул. Красноярская, д. 42</t>
  </si>
  <si>
    <t>Г. Рудня, ул. Станционная, д. 22а</t>
  </si>
  <si>
    <t>Дер. Сташки, ул. Молодежная, д. 1</t>
  </si>
  <si>
    <t>Дер. Чистик, ул. Садовая, д. 8</t>
  </si>
  <si>
    <t>Итого по Чистиковскому сельскому поселению Руднянского района Смоленской области</t>
  </si>
  <si>
    <t>Г. Сафоново, ул. 40 лет Октября, д. 5</t>
  </si>
  <si>
    <t>Г. Сафоново, ул. 40 лет Октября, д. 8</t>
  </si>
  <si>
    <t>Г. Сафоново, ул. Кирова, д. 2</t>
  </si>
  <si>
    <t>Г. Сафоново, ул. Ковалева, д. 17</t>
  </si>
  <si>
    <t>Г. Сафоново, ул. Ковалева, д. 1а</t>
  </si>
  <si>
    <t>Г. Сафоново, ул. Ковалева, д. 3</t>
  </si>
  <si>
    <t>Г. Сафоново, ул. Коммунистическая, д. 1</t>
  </si>
  <si>
    <t>Г. Сафоново, ул. Коммунистическая, д. 11</t>
  </si>
  <si>
    <t>Г. Сафоново, ул. Коммунистическая, д. 3</t>
  </si>
  <si>
    <t>Г. Сафоново, ул. Коммунистическая, д. 5</t>
  </si>
  <si>
    <t>Г. Сафоново, ул. Коммунистическая, д. 6</t>
  </si>
  <si>
    <t>Г. Сафоново, ул. Коммунистическая, д. 7</t>
  </si>
  <si>
    <t>Г. Сафоново, ул. Коммунистическая, д. 9</t>
  </si>
  <si>
    <t>Г. Сафоново, ул. Красногвардейская, д. 39</t>
  </si>
  <si>
    <t>Г. Сафоново, ул. Ленина, д. 10</t>
  </si>
  <si>
    <t>Г. Сафоново, ул. Ленина, д. 18</t>
  </si>
  <si>
    <t>Г. Сафоново, ул. Ленина, д. 9</t>
  </si>
  <si>
    <t>Г. Сафоново, ул. Ленинградская, д. 8</t>
  </si>
  <si>
    <t>Г. Сафоново, ул. Революционная, д. 1</t>
  </si>
  <si>
    <t>Г. Сафоново, ул. Революционная, д. 3</t>
  </si>
  <si>
    <t>Г. Сафоново, ул. Революционная, д. 5</t>
  </si>
  <si>
    <t>Г. Сафоново, ул. Репина, д. 18</t>
  </si>
  <si>
    <t>Г. Сафоново, ул. Свободы, д. 13</t>
  </si>
  <si>
    <t>Г. Сафоново, ул. Строителей, д. 2</t>
  </si>
  <si>
    <t>Итого по Сафоновскому городскому поселению Сафоновского района Смоленской области</t>
  </si>
  <si>
    <t>Итого по Беленинскому сельскому поселению Сафоновского района Смоленской области</t>
  </si>
  <si>
    <t>Дер. Клинка, ул. Школьная, д. 2</t>
  </si>
  <si>
    <t>Итого по Вадинскому сельскому поселению Сафоновского района Смоленской области</t>
  </si>
  <si>
    <t>Пос. Вадино, ул. Молодежная, д. 5</t>
  </si>
  <si>
    <t>Пос. Вадино, ул. Центральная, д. 14</t>
  </si>
  <si>
    <t>Итого по Вышегорскому сельскому поселению Сафоновского района Смоленской области</t>
  </si>
  <si>
    <t>Дер. Вышегор, ул. Мира, д. 2</t>
  </si>
  <si>
    <t>Дер. Вышегор, ул. Мира, д. 3</t>
  </si>
  <si>
    <t>Дер. Кононово, ул. Школьная, д. 21</t>
  </si>
  <si>
    <t>Итого по Зимницкому сельскому поселению Сафоновского района Смоленской области</t>
  </si>
  <si>
    <t>Итого по Николо-Погореловскому сельскому поселению Сафоновского района Смоленской области</t>
  </si>
  <si>
    <t>Дер. Николо-Погорелое, ул. Центральная, д. 2</t>
  </si>
  <si>
    <t>Дер. Николо-Погорелое, ул. Центральная, д. 5</t>
  </si>
  <si>
    <t>Итого по Катынскому сельскому поселению Смоленского района Смоленской области</t>
  </si>
  <si>
    <t>Дер. Санаторий Борок, д. 2</t>
  </si>
  <si>
    <t>Дер. Санаторий Борок, д. 3</t>
  </si>
  <si>
    <t>Итого по Кощинскому сельскому поселению Смоленского района Смоленской области</t>
  </si>
  <si>
    <t>Дер. Кощино, ул. Мира, д. 1</t>
  </si>
  <si>
    <t>Дер. Кощино, ул. Мира, д. 3</t>
  </si>
  <si>
    <t>Итого по Стабенскому сельскому поселению Смоленского района Смоленской области</t>
  </si>
  <si>
    <t>Дер. Жуково, ул. Мира, д. 50</t>
  </si>
  <si>
    <t>Дер. Жуково, ул. Мира, д. 52</t>
  </si>
  <si>
    <t>Дер. Жуково, ул. Мира, д. 53</t>
  </si>
  <si>
    <t>Дер. Жуково, ул. Мира, д. 56</t>
  </si>
  <si>
    <t>Итого по Талашкинскому сельскому поселению Смоленского района Смоленской области</t>
  </si>
  <si>
    <t>Дер. Моготово, ул. Центральная, д. 1</t>
  </si>
  <si>
    <t>Дер. Моготово, ул. Центральная, д. 3</t>
  </si>
  <si>
    <t>Дер. Моготово, ул. Центральная, д. 5</t>
  </si>
  <si>
    <t>Дер. Фленово, ул. Музейная, д. 1</t>
  </si>
  <si>
    <t>С. Талашкино, ул. Ленина, д. 19</t>
  </si>
  <si>
    <t>С. Талашкино, ул. Ленина, д. 19а</t>
  </si>
  <si>
    <t>С. Талашкино, ул. Ленина, д. 21</t>
  </si>
  <si>
    <t>С. Талашкино, ул. Ленина, д. 23</t>
  </si>
  <si>
    <t>С. Талашкино, ул. Парковая, д. 6</t>
  </si>
  <si>
    <t>С. Талашкино, ул. Садовая, д. 1</t>
  </si>
  <si>
    <t>С. Талашкино, ул. Садовая, д. 10</t>
  </si>
  <si>
    <t>С. Талашкино, ул. Садовая, д. 3</t>
  </si>
  <si>
    <t>С. Катынь, ул. Витебское шоссе, д. 1</t>
  </si>
  <si>
    <t>Итого по Гнездовскому сельскому поселению Смоленского района Смоленской области</t>
  </si>
  <si>
    <t>Дер. Новые Батеки, ул. Северная, д. 19</t>
  </si>
  <si>
    <t>Дер. Шоссейный дом Вонлярово, д. 5</t>
  </si>
  <si>
    <t>Дер. Зыколино, д. 27</t>
  </si>
  <si>
    <t>Итого по Сычевскому городскому поселению Сычевского района Смоленской области</t>
  </si>
  <si>
    <t>Г. Сычевка, ул. Карла Маркса, д. 10</t>
  </si>
  <si>
    <t>Г. Сычевка, ул. Карла Маркса, д. 12</t>
  </si>
  <si>
    <t>Г. Сычевка, ул. Комсомольская, д. 36</t>
  </si>
  <si>
    <t>Г. Сычевка, ул. Станционное Шоссе, д. 9</t>
  </si>
  <si>
    <t>Итого по Мальцевскому сельскому поселению Сычевского района Смоленской области</t>
  </si>
  <si>
    <t xml:space="preserve">Дер. Мальцево, ул. Набережная Вазузы, д. 2 </t>
  </si>
  <si>
    <t>Дер. Мальцево, ул. Парковая, д. 2</t>
  </si>
  <si>
    <t>Дер. Мальцево, ул. Парковая, д. 4</t>
  </si>
  <si>
    <t>Дер. Юшино, ул. Дачная, д. 2</t>
  </si>
  <si>
    <t>Дер. Юшино, ул. Речная, д. 2</t>
  </si>
  <si>
    <t>Итого по Темкинскому сельскому поселению Темкинского района Смоленской области</t>
  </si>
  <si>
    <t>С. Темкино, ул. Механизаторов, д. 1</t>
  </si>
  <si>
    <t>Дер. Михали, ул. Центральная, д. 1</t>
  </si>
  <si>
    <t>С. Знаменка, ул. Филиппова, д. 1</t>
  </si>
  <si>
    <t>С. Угра, ул. Десантная, д. 1</t>
  </si>
  <si>
    <t>Ст. Волоста-Пятница, ул. Железнодорожная, д. 7</t>
  </si>
  <si>
    <t>Итого по Хиславичскому городскому поселению Хиславичского района Смоленской области</t>
  </si>
  <si>
    <t>Пос. Хиславичи, пер. Кооперативный, д. 1</t>
  </si>
  <si>
    <t>Пос. Хиславичи, ул. Советская, д. 104</t>
  </si>
  <si>
    <t>Пос. Хиславичи, ул. Советская, д. 45</t>
  </si>
  <si>
    <t>Итого по Холм-Жирковскому городскому поселению Холм-Жирковского района Смоленской области</t>
  </si>
  <si>
    <t>Пос. Холм-Жирковский, ул. Ленина, д. 4</t>
  </si>
  <si>
    <t>Пос. Холм-Жирковский, ул. Ленина, д. 6</t>
  </si>
  <si>
    <t xml:space="preserve">Итого по Шумячскому городскому поселению </t>
  </si>
  <si>
    <t>Пос. Шумячи, ул. Сельхозтехника, д. 8</t>
  </si>
  <si>
    <t xml:space="preserve">Итого по Первомайскому сельскому поселению Шумячского района Смоленской области </t>
  </si>
  <si>
    <t>С. Первомайский, ул. Советская, д. 8</t>
  </si>
  <si>
    <t xml:space="preserve">Итого по Озерному сельскому поселению Шумячского района Смоленской области </t>
  </si>
  <si>
    <t>Дер. Озерная, ул. Новая, д. 1</t>
  </si>
  <si>
    <t>Г. Ярцево, просп. Металлургов, д. 24</t>
  </si>
  <si>
    <t>Г. Ярцево, просп. Металлургов, д. 29</t>
  </si>
  <si>
    <t>Г. Ярцево, просп. Металлургов, д. 48</t>
  </si>
  <si>
    <t>Г. Ярцево, ул. Автозаводская, д. 24</t>
  </si>
  <si>
    <t>Г. Ярцево, ул. Гагарина, д. 10/20</t>
  </si>
  <si>
    <t>Г. Ярцево, ул. Гагарина, д. 13</t>
  </si>
  <si>
    <t>Г. Ярцево, ул. Гагарина, д. 2</t>
  </si>
  <si>
    <t>Г. Ярцево, ул. Гагарина, д. 6</t>
  </si>
  <si>
    <t>Г. Ярцево, ул. Гагарина, д. 8</t>
  </si>
  <si>
    <t>Г. Ярцево, ул. Краснооктябрьская, д. 28</t>
  </si>
  <si>
    <t>Г. Ярцево, ул. Краснооктябрьская, д. 30</t>
  </si>
  <si>
    <t>Г. Ярцево, ул. Краснооктябрьская, д. 32</t>
  </si>
  <si>
    <t>Г. Ярцево, ул. Краснооктябрьская, д. 34</t>
  </si>
  <si>
    <t>Г. Ярцево, ул. Краснооктябрьская, д. 37</t>
  </si>
  <si>
    <t>Г. Ярцево, ул. Ленинская, д. 1</t>
  </si>
  <si>
    <t>Г. Ярцево, ул. Ленинская, д. 2</t>
  </si>
  <si>
    <t>Г. Ярцево, ул. Ленинская, д. 5</t>
  </si>
  <si>
    <t>Г. Ярцево, ул. Ленинская, д. 7</t>
  </si>
  <si>
    <t>Г. Ярцево, ул. Максима Горького, д. 12</t>
  </si>
  <si>
    <t>Г. Ярцево, ул. Максима Горького, д. 13</t>
  </si>
  <si>
    <t>Г. Ярцево, ул. Максима Горького, д. 14</t>
  </si>
  <si>
    <t>Г. Ярцево, ул. Максима Горького, д. 15</t>
  </si>
  <si>
    <t>Г. Ярцево, ул. Максима Горького, д. 16</t>
  </si>
  <si>
    <t>Г. Ярцево, ул. Максима Горького, д. 22</t>
  </si>
  <si>
    <t>Г. Ярцево, ул. Максима Горького, д. 24</t>
  </si>
  <si>
    <t>Г. Ярцево, ул. Максима Горького, д. 4</t>
  </si>
  <si>
    <t>Г. Ярцево, ул. Максима Горького, д. 4а</t>
  </si>
  <si>
    <t>Г. Ярцево, ул. Максима Горького, д. 6</t>
  </si>
  <si>
    <t>Г. Ярцево, ул. Первомайская, д. 27</t>
  </si>
  <si>
    <t>Г. Ярцево, ул. Первомайская, д. 28</t>
  </si>
  <si>
    <t>Г. Ярцево, ул. Чайковского, д. 15</t>
  </si>
  <si>
    <t>Г. Ярцево, ул. Чайковского, д. 21</t>
  </si>
  <si>
    <t>Г. Ярцево, ул. Шоссейная, д. 33</t>
  </si>
  <si>
    <t>Г. Ярцево, ул. Энтузиастов, д. 27</t>
  </si>
  <si>
    <t>Дер. Ланино, д. 6</t>
  </si>
  <si>
    <t>Дер. Михейково, ул. Советская, д. 32</t>
  </si>
  <si>
    <t>Дер. Суетово, ул. Магистральная, д. 7</t>
  </si>
  <si>
    <t>Итого по Суетовскому сельскому поселению Ярцевского района Смоленской области</t>
  </si>
  <si>
    <t>Итого по Михейковскому сельскому поселению Ярцевского района Смоленской области</t>
  </si>
  <si>
    <t>Г. Смоленск, ул. Большая Советская, д. 8</t>
  </si>
  <si>
    <t>Г. Смоленск, ул. Ново-Ленинградская, д. 19</t>
  </si>
  <si>
    <t>Г. Смоленск, ул. Тухачевского, д. 9</t>
  </si>
  <si>
    <t>Итого по городу Смоленску</t>
  </si>
  <si>
    <t>Г. Смоленск, городок Коминтерна, д. 10</t>
  </si>
  <si>
    <t>Г. Смоленск, ул. Большая Советская, д. 33</t>
  </si>
  <si>
    <t>Г. Смоленск, ул. Большая Советская, д. 35</t>
  </si>
  <si>
    <t>Г. Смоленск, ул. Большая Советская, д. 37</t>
  </si>
  <si>
    <t>Г. Смоленск, ул. Большая Советская, д. 45/1</t>
  </si>
  <si>
    <t>Г. Смоленск, ул. Ленина, д. 11</t>
  </si>
  <si>
    <t>Г. Смоленск, ул. Маршала Жукова, д. 12</t>
  </si>
  <si>
    <t>Г. Смоленск, ул. Тенишевой, д. 4</t>
  </si>
  <si>
    <t>Г. Смоленск, ул. Фрунзе, д. 47</t>
  </si>
  <si>
    <t>Г. Смоленск, просп. Гагарина, д. 12/1</t>
  </si>
  <si>
    <t>Г. Смоленск, ул. Исаковского, д. 42</t>
  </si>
  <si>
    <t>Г. Смоленск, ул. 12 лет Октября, д. 15</t>
  </si>
  <si>
    <t>Г. Смоленск, пер. Смирнова, д. 3/4</t>
  </si>
  <si>
    <t>Г. Смоленск, ул. Коммунистическая, д. 14</t>
  </si>
  <si>
    <t>Г. Смоленск, ул. Тенишевой, д. 21</t>
  </si>
  <si>
    <t>Г. Смоленск, ул. Тухачевского, д. 1</t>
  </si>
  <si>
    <t>Г. Смоленск, ул. Исаковского, д. 40</t>
  </si>
  <si>
    <t>Г. Смоленск, ул. Большая Советская, д. 14</t>
  </si>
  <si>
    <t>Г. Смоленск, пос. Красный Бор, д. 5/18</t>
  </si>
  <si>
    <t>Г. Смоленск, ул. Коммунистическая, д. 10</t>
  </si>
  <si>
    <t>Г. Смоленск, ул. Коммунистическая, д. 12</t>
  </si>
  <si>
    <t>Г. Смоленск, ул. Маяковского, д. 5</t>
  </si>
  <si>
    <t>Г. Смоленск, пер. Ново-Киевский, д. 2а</t>
  </si>
  <si>
    <t>Г. Смоленск, ул. Большая Советская, д. 24</t>
  </si>
  <si>
    <t>Г. Смоленск, ул. Большая Советская, д. 28/16</t>
  </si>
  <si>
    <t>Г. Смоленск, ул. Кирилла и Мефодия, д. 1</t>
  </si>
  <si>
    <t>Г. Смоленск, ул. Николаева, д. 3</t>
  </si>
  <si>
    <t>Г. Смоленск, ул. Тухачевского, д. 4</t>
  </si>
  <si>
    <t>Г. Смоленск, ул. Фрунзе, д. 2</t>
  </si>
  <si>
    <t>Г. Смоленск, ул. Беляева, д. 6</t>
  </si>
  <si>
    <t>Г. Смоленск, ул. Ленина, д. 29/24</t>
  </si>
  <si>
    <t>Г. Смоленск, ул. Ленина, д. 6/1</t>
  </si>
  <si>
    <t>Г. Смоленск, ул. Ленина, д. 9</t>
  </si>
  <si>
    <t>Г. Смоленск, ул. Ново-Ленинградская, д. 18</t>
  </si>
  <si>
    <t>Г. Смоленск, ул. Центральная, д. 13б</t>
  </si>
  <si>
    <t>Г. Смоленск, ул. 8 Марта, д. 10</t>
  </si>
  <si>
    <t>Г. Смоленск, ул. 8 Марта, д. 4</t>
  </si>
  <si>
    <t>Г. Смоленск, ул. 8 Марта, д. 5</t>
  </si>
  <si>
    <t>Г. Смоленск, ул. 8 Марта, д. 9</t>
  </si>
  <si>
    <t>Г. Смоленск, ул. Большая Советская, д. 43</t>
  </si>
  <si>
    <t>Г. Смоленск, ул. Большая Советская, д. 7</t>
  </si>
  <si>
    <t>Г. Смоленск, ул. Ленина, д. 15</t>
  </si>
  <si>
    <t>Г. Смоленск, ул. Нахимсона, д. 8</t>
  </si>
  <si>
    <t>Г. Смоленск, пер. Бакунина, д. 2</t>
  </si>
  <si>
    <t>Г. Смоленск, ул. Большая Краснофлотская, д. 7</t>
  </si>
  <si>
    <t>Г. Смоленск, ул. Большая Советская, д. 16/17</t>
  </si>
  <si>
    <t>Г. Смоленск, ул. Герцена, д. 9</t>
  </si>
  <si>
    <t>Г. Смоленск, ул. Чкалова, д. 1</t>
  </si>
  <si>
    <t>Г. Смоленск, ул. Энгельса, д. 3</t>
  </si>
  <si>
    <t>Г. Смоленск, ул. Энгельса, д. 6</t>
  </si>
  <si>
    <t>Г. Смоленск, Витебское шоссе, д. 68</t>
  </si>
  <si>
    <t>Г. Смоленск, пер. 2-й Выставочный, д. 13а</t>
  </si>
  <si>
    <t>Г. Смоленск, пер. 2-й Киевский, д. 5а</t>
  </si>
  <si>
    <t>Г. Смоленск, ул. 2-я Киевская, д. 10</t>
  </si>
  <si>
    <t>Г. Смоленск, ул. Ленина, д. 12а</t>
  </si>
  <si>
    <t>Г. Смоленск, ул. Нарвская, д. 3</t>
  </si>
  <si>
    <t>Г. Смоленск, ул. Чаплина, д. 4</t>
  </si>
  <si>
    <t>Г. Смоленск, Витебское шоссе, д. 62</t>
  </si>
  <si>
    <t>Г. Смоленск, ул. 2-я Киевская, д. 12</t>
  </si>
  <si>
    <t>Г. Смоленск, ул. Большая Краснофлотская, д. 5</t>
  </si>
  <si>
    <t>Г. Смоленск, ул. Большая Краснофлотская, д. 9</t>
  </si>
  <si>
    <t>Г. Смоленск, ул. Станционная, д. 6</t>
  </si>
  <si>
    <t>Г. Смоленск, ул. Студенческая, д. 3</t>
  </si>
  <si>
    <t>Г. Смоленск, ул. Чкалова, д. 3а</t>
  </si>
  <si>
    <t>Г. Смоленск, ул. Энгельса, д. 10</t>
  </si>
  <si>
    <t>Г. Смоленск, пос. 430 км, д. 12</t>
  </si>
  <si>
    <t>Г. Смоленск, пос. 430 км, д. 14</t>
  </si>
  <si>
    <t>Г. Смоленск, ул. Большая Краснофлотская, д. 11</t>
  </si>
  <si>
    <t>Г. Смоленск, ул. Большая Краснофлотская, д. 3</t>
  </si>
  <si>
    <t>Г. Смоленск, ул. Большая Советская, д. 18/18</t>
  </si>
  <si>
    <t>Г. Смоленск, ул. Большая Советская, д. 39/11</t>
  </si>
  <si>
    <t>Г. Смоленск, ул. Свердлова, д. 1</t>
  </si>
  <si>
    <t>Г. Смоленск, ул. Центральная, д. 4</t>
  </si>
  <si>
    <t>Г. Смоленск, пер. 2-й Краснофлотский, д. 26б</t>
  </si>
  <si>
    <t>Г. Смоленск, просп. Гагарина, д. 4</t>
  </si>
  <si>
    <t>Г. Смоленск, ул. Герцена, д. 5</t>
  </si>
  <si>
    <t>Г. Смоленск, ул. Докучаева, д. 4</t>
  </si>
  <si>
    <t>Г. Смоленск, ул. Седова, д. 54</t>
  </si>
  <si>
    <t>Г. Смоленск, ул. 2-я Киевская, д. 7</t>
  </si>
  <si>
    <t>Г. Смоленск, ул. Бакунина, д. 5</t>
  </si>
  <si>
    <t>Г. Смоленск, ул. Пржевальского, д. 6/25</t>
  </si>
  <si>
    <t>Г. Смоленск, ул. Соболева, д. 22</t>
  </si>
  <si>
    <t>Г. Смоленск, ул. Твардовского, д. 3</t>
  </si>
  <si>
    <t>Г. Смоленск, ул. Тухачевского, д. 3</t>
  </si>
  <si>
    <t>Г. Смоленск, ул. Тухачевского, д. 8</t>
  </si>
  <si>
    <t>Г. Смоленск, ул. Урицкого, д. 4</t>
  </si>
  <si>
    <t>Г. Смоленск, ул. Фурманова, д. 43</t>
  </si>
  <si>
    <t>Г. Смоленск, пер. Хлебозаводской, д. 10</t>
  </si>
  <si>
    <t>Г. Смоленск, просп. Гагарина, д. 6</t>
  </si>
  <si>
    <t>Г. Смоленск, ул. 2-я Киевская, д. 18</t>
  </si>
  <si>
    <t>Г. Смоленск, ул. Бакунина, д. 2а</t>
  </si>
  <si>
    <t>Г. Смоленск, ул. Большая Советская, д. 29а</t>
  </si>
  <si>
    <t>Г. Смоленск, ул. Генерала Лукина, д. 12</t>
  </si>
  <si>
    <t>Г. Смоленск, ул. Генерала Лукина, д. 12а</t>
  </si>
  <si>
    <t>Г. Смоленск, ул. Лавочкина, д. 56</t>
  </si>
  <si>
    <t>Г. Смоленск, ул. Пржевальского, д. 2</t>
  </si>
  <si>
    <t>Г. Смоленск, ул. Тухачевского, д. 10</t>
  </si>
  <si>
    <t>Г. Смоленск, ул. Фаянсовая, д. 13</t>
  </si>
  <si>
    <t>Г. Смоленск, ул. Фрунзе, д. 38</t>
  </si>
  <si>
    <t>Г. Смоленск, ул. Центральная, д. 18/2</t>
  </si>
  <si>
    <t>Г. Смоленск, ул. Черняховского, д. 16а</t>
  </si>
  <si>
    <t>Г. Смоленск, Витебское шоссе, д. 28а</t>
  </si>
  <si>
    <t>Г. Смоленск, Витебское шоссе, д. 36</t>
  </si>
  <si>
    <t>Г. Смоленск, пер. 4-й Слобода-Садки, д. 13</t>
  </si>
  <si>
    <t>Г. Смоленск, пер. Больничный, д. 7</t>
  </si>
  <si>
    <t>Г. Смоленск, ул. Большая Советская, д. 13</t>
  </si>
  <si>
    <t>Г. Смоленск, ул. Гастелло, д. 7/1</t>
  </si>
  <si>
    <t>Г. Смоленск, ул. Дзержинского, д. 15</t>
  </si>
  <si>
    <t>Г. Смоленск, ул. Докучаева, д. 8</t>
  </si>
  <si>
    <t>Г. Смоленск, ул. Лавочкина, д. 50</t>
  </si>
  <si>
    <t>Г. Смоленск, ул. Мало-Краснофлотская, д. 29</t>
  </si>
  <si>
    <t>Г. Смоленск, ул. Марии Октябрьской, д. 4</t>
  </si>
  <si>
    <t>Г. Смоленск, ул. Маршала Жукова, д. 26а</t>
  </si>
  <si>
    <t>Г. Смоленск, ул. Твардовского, д. 9</t>
  </si>
  <si>
    <t>Г. Смоленск, ул. Фаянсовая, д. 15</t>
  </si>
  <si>
    <t>Г. Смоленск, ул. Фрунзе, д. 6</t>
  </si>
  <si>
    <t>Г. Смоленск, ул. Чехова, д. 2</t>
  </si>
  <si>
    <t>Г. Смоленск, Витебское шоссе, д. 1/37</t>
  </si>
  <si>
    <t>Г. Смоленск, Витебское шоссе, д. 56</t>
  </si>
  <si>
    <t>Г. Смоленск, Витебское шоссе, д. 66</t>
  </si>
  <si>
    <t>Г. Смоленск, пер. 2-й Рославльский, д. 5</t>
  </si>
  <si>
    <t>Г. Смоленск, пер. 2-й Серебрянки, д. 1</t>
  </si>
  <si>
    <t>Г. Смоленск, пер. 3-й Горького, д. 3</t>
  </si>
  <si>
    <t>Г. Смоленск, пер. 4-й Слобода-Садки, д. 26</t>
  </si>
  <si>
    <t>Г. Смоленск, пер. Хлебозаводской, д. 4</t>
  </si>
  <si>
    <t>Г. Смоленск, пер. Хлебозаводской, д. 6</t>
  </si>
  <si>
    <t>Г. Смоленск, пер. Чуриловский, д. 1</t>
  </si>
  <si>
    <t>Г. Смоленск, пер. Чуриловский, д. 1а</t>
  </si>
  <si>
    <t>Г. Смоленск, ул. Минская, д. 15</t>
  </si>
  <si>
    <t>Г. Смоленск, ул. Николаева, д. 4</t>
  </si>
  <si>
    <t>Г. Смоленск, ул. Кирова, д. 26</t>
  </si>
  <si>
    <t>Г. Смоленск, ул. Автозаводская, д. 23</t>
  </si>
  <si>
    <t>Г. Смоленск, пер. Запольный, д. 4</t>
  </si>
  <si>
    <t>Г. Смоленск, ул. Лавочкина, д. 50а</t>
  </si>
  <si>
    <t>Г. Смоленск, пер. Запольный, д. 5а</t>
  </si>
  <si>
    <t>Г. Смоленск, ул. Маршала Жукова, д. 18</t>
  </si>
  <si>
    <t>Г. Смоленск, ул. Маршала Жукова, д. 20</t>
  </si>
  <si>
    <t>Г. Смоленск, пос. Красный Бор, д. 5/220</t>
  </si>
  <si>
    <t>Г. Смоленск, пос. Серебрянка, д. 52</t>
  </si>
  <si>
    <t>Г. Смоленск, ул. 2-я Киевская, д. 13</t>
  </si>
  <si>
    <t>Г. Смоленск, ул. Автозаводская, д. 32а</t>
  </si>
  <si>
    <t>Г. Смоленск, ул. Воробьева, д. 16/12</t>
  </si>
  <si>
    <t>Г. Смоленск, ул. Воробьева, д. 18</t>
  </si>
  <si>
    <t>Г. Смоленск, ул. Воробьева, д. 20</t>
  </si>
  <si>
    <t>Г. Смоленск, ул. Воробьева, д. 22</t>
  </si>
  <si>
    <t>Г. Смоленск, ул. Воробьева, д. 24</t>
  </si>
  <si>
    <t>Г. Смоленск, ул. Воробьева, д. 26</t>
  </si>
  <si>
    <t>Г. Смоленск, ул. Воробьева, д. 26а</t>
  </si>
  <si>
    <t>Г. Смоленск, ул. Воробьева, д. 26б</t>
  </si>
  <si>
    <t>Г. Смоленск, ул. Воробьева, д. 28</t>
  </si>
  <si>
    <t>Г. Смоленск, ул. Воробьева, д. 8/8</t>
  </si>
  <si>
    <t>Г. Смоленск, ул. Гастелло, д. 2</t>
  </si>
  <si>
    <t>Г. Смоленск, ул. Гастелло, д. 5/2</t>
  </si>
  <si>
    <t>Г. Смоленск, ул. Генерала Лукина, д. 10</t>
  </si>
  <si>
    <t>Г. Смоленск, ул. Генерала Лукина, д. 10а</t>
  </si>
  <si>
    <t>Г. Смоленск, ул. Генерала Лукина, д. 6</t>
  </si>
  <si>
    <t>Г. Смоленск, ул. Генерала Лукина, д. 8</t>
  </si>
  <si>
    <t>Г. Смоленск, ул. Губенко, д. 22</t>
  </si>
  <si>
    <t>Г. Смоленск, ул. Дзержинского, д. 22</t>
  </si>
  <si>
    <t>Г. Смоленск, ул. Докучаева, д. 10</t>
  </si>
  <si>
    <t>Г. Смоленск, ул. Карбышева, д. 2</t>
  </si>
  <si>
    <t>Г. Смоленск, ул. Карбышева, д. 4</t>
  </si>
  <si>
    <t>Г. Смоленск, ул. Котовского, д. 11</t>
  </si>
  <si>
    <t>Г. Смоленск, ул. Котовского, д. 5</t>
  </si>
  <si>
    <t>Г. Смоленск, ул. Котовского, д. 9</t>
  </si>
  <si>
    <t>Г. Смоленск, ул. Котовского, д. 9а</t>
  </si>
  <si>
    <t>Г. Смоленск, ул. Крупской, д. 39б</t>
  </si>
  <si>
    <t>Г. Смоленск, ул. Крупской, д. 58</t>
  </si>
  <si>
    <t>Г. Смоленск, ул. Лавочкина, д. 58</t>
  </si>
  <si>
    <t>Г. Смоленск, ул. Ленина, д. 33</t>
  </si>
  <si>
    <t>Г. Смоленск, ул. Марии Октябрьской, д. 4а</t>
  </si>
  <si>
    <t>Г. Смоленск, ул. Марии Октябрьской, д. 4б</t>
  </si>
  <si>
    <t>Г. Смоленск, ул. Марии Октябрьской, д. 6</t>
  </si>
  <si>
    <t>Г. Смоленск, ул. Октября, д. 48</t>
  </si>
  <si>
    <t>Г. Смоленск, ул. Парковая, д. 22</t>
  </si>
  <si>
    <t>Г. Смоленск, ул. Пржевальского, д. 10</t>
  </si>
  <si>
    <t>Г. Смоленск, ул. Пролетарская, д. 35</t>
  </si>
  <si>
    <t>Г. Смоленск, ул. Пролетарская, д. 37</t>
  </si>
  <si>
    <t>Г. Смоленск, ул. Реввоенсовета, д. 22</t>
  </si>
  <si>
    <t>Г. Смоленск, ул. Соболева, д. 111</t>
  </si>
  <si>
    <t>Г. Смоленск, ул. Станционная, д. 8а</t>
  </si>
  <si>
    <t>Г. Смоленск, ул. Твардовского, д. 10</t>
  </si>
  <si>
    <t>Г. Смоленск, ул. Твардовского, д. 10а</t>
  </si>
  <si>
    <t>Г. Смоленск, ул. Тухачевского, д. 5</t>
  </si>
  <si>
    <t>Г. Смоленск, ул. Фрунзе, д. 18</t>
  </si>
  <si>
    <t>Г. Смоленск, ул. Фрунзе, д. 34а</t>
  </si>
  <si>
    <t>Г. Смоленск, ул. Фурманова, д. 16</t>
  </si>
  <si>
    <t>Г. Смоленск, ул. Центральная, д. 2</t>
  </si>
  <si>
    <t>Г. Смоленск, ул. Черняховского, д. 10</t>
  </si>
  <si>
    <t>Г. Смоленск, ул. Черняховского, д. 16</t>
  </si>
  <si>
    <t>Г. Смоленск, ул. Черняховского, д. 20</t>
  </si>
  <si>
    <t>Г. Смоленск, ул. Черняховского, д. 20а</t>
  </si>
  <si>
    <t>Г. Смоленск, ул. Черняховского, д. 24</t>
  </si>
  <si>
    <t>Г. Смоленск, ул. Черняховского, д. 24в</t>
  </si>
  <si>
    <t>Г. Смоленск, ул. Черняховского, д. 26</t>
  </si>
  <si>
    <t>Г. Смоленск, ул. Черняховского, д. 26а</t>
  </si>
  <si>
    <t>Г. Смоленск, ул. Черняховского, д. 8а</t>
  </si>
  <si>
    <t>Г. Смоленск, ул. Черняховского, д. 8б</t>
  </si>
  <si>
    <t>Г. Смоленск, ул. Чехова, д. 1</t>
  </si>
  <si>
    <t>Г. Смоленск, ул. Чехова, д. 2а</t>
  </si>
  <si>
    <t>Г. Смоленск, ул. Чехова, д. 5</t>
  </si>
  <si>
    <t>Г. Смоленск, ул. Чкалова, д. 11а</t>
  </si>
  <si>
    <t>Г. Смоленск, ул. Чкалова, д. 17</t>
  </si>
  <si>
    <t>Г. Смоленск, Витебское шоссе, д. 6</t>
  </si>
  <si>
    <t>Г. Смоленск, городок Коминтерна, д. 6а</t>
  </si>
  <si>
    <t>Г. Смоленск, городок Коминтерна, д. 8а</t>
  </si>
  <si>
    <t>Г. Смоленск, пер. 3-й Горького, д. 5</t>
  </si>
  <si>
    <t>Г. Смоленск, пер. 4-й Краснофлотский, д. 1</t>
  </si>
  <si>
    <t>Г. Смоленск, пер. 4-й Слобода-Садки, д. 33</t>
  </si>
  <si>
    <t>Г. Смоленск, пер. 4-й Слобода-Садки, д. 39</t>
  </si>
  <si>
    <t>Г. Смоленск, пер. Больничный, д. 2</t>
  </si>
  <si>
    <t>Г. Смоленск, пер. Витебский, д. 3а</t>
  </si>
  <si>
    <t>Г. Смоленск, пер. Смирнова, д. 3</t>
  </si>
  <si>
    <t>Г. Смоленск, пос. 430 км, д. 18</t>
  </si>
  <si>
    <t>Г. Смоленск, пос. Нижняя Дубровенка, д. 5</t>
  </si>
  <si>
    <t>Г. Смоленск, пр. Дзержинского, д. 6</t>
  </si>
  <si>
    <t>Г. Смоленск, просп. Гагарина, д. 13/2</t>
  </si>
  <si>
    <t>Г. Смоленск, просп. Гагарина, д. 29/1</t>
  </si>
  <si>
    <t>Г. Смоленск, просп. Гагарина, д. 3</t>
  </si>
  <si>
    <t>Г. Смоленск, ул. 8 Марта, д. 17</t>
  </si>
  <si>
    <t>Г. Смоленск, ул. Белинского, д. 10</t>
  </si>
  <si>
    <t>Г. Смоленск, ул. Белинского, д. 10а</t>
  </si>
  <si>
    <t>Г. Смоленск, ул. Верхне-Рославльская, д. 15</t>
  </si>
  <si>
    <t>Г. Смоленск, ул. Верхне-Рославльская, д. 22</t>
  </si>
  <si>
    <t>Г. Смоленск, ул. Воробьева, д. 30</t>
  </si>
  <si>
    <t>Г. Смоленск, ул. Воробьева, д. 30а</t>
  </si>
  <si>
    <t>Г. Смоленск, ул. Воробьева, д. 32</t>
  </si>
  <si>
    <t>Г. Смоленск, ул. Воробьева, д. 32а</t>
  </si>
  <si>
    <t>Г. Смоленск, ул. Воробьева, д. 34</t>
  </si>
  <si>
    <t>Г. Смоленск, ул. Высокая, д. 21</t>
  </si>
  <si>
    <t>Г. Смоленск, ул. Генерала Лукина, д. 8а</t>
  </si>
  <si>
    <t>Г. Смоленск, ул. Дзержинского, д. 19а</t>
  </si>
  <si>
    <t>Г. Смоленск, ул. Котовского, д. 13</t>
  </si>
  <si>
    <t>Г. Смоленск, ул. Котовского, д. 3</t>
  </si>
  <si>
    <t>Г. Смоленск, ул. Крупской, д. 28а</t>
  </si>
  <si>
    <t>Г. Смоленск, ул. Крупской, д. 28б</t>
  </si>
  <si>
    <t>Г. Смоленск, ул. Крупской, д. 28в</t>
  </si>
  <si>
    <t>Г. Смоленск, ул. Крупской, д. 56</t>
  </si>
  <si>
    <t>Г. Смоленск, ул. Крупской, д. 63/2</t>
  </si>
  <si>
    <t>Г. Смоленск, ул. Кутузова, д. 10а</t>
  </si>
  <si>
    <t>Г. Смоленск, ул. Лавочкина, д. 53</t>
  </si>
  <si>
    <t>Г. Смоленск, ул. Лавочкина, д. 55</t>
  </si>
  <si>
    <t>Г. Смоленск, ул. Лавочкина, д. 57</t>
  </si>
  <si>
    <t>Г. Смоленск, ул. Лавочкина, д. 66а</t>
  </si>
  <si>
    <t>Г. Смоленск, ул. Лавочкина, д. 70</t>
  </si>
  <si>
    <t>Г. Смоленск, ул. Ленина, д. 32</t>
  </si>
  <si>
    <t>Г. Смоленск, ул. Ленина, д. 36</t>
  </si>
  <si>
    <t>Г. Смоленск, ул. Марии Октябрьской, д. 10г</t>
  </si>
  <si>
    <t>Г. Смоленск, ул. Марии Октябрьской, д. 6а</t>
  </si>
  <si>
    <t>Г. Смоленск, ул. Марии Октябрьской, д. 6б</t>
  </si>
  <si>
    <t>Г. Смоленск, ул. Московский Большак, д. 45</t>
  </si>
  <si>
    <t>Г. Смоленск, ул. Московский Большак, д. 51а</t>
  </si>
  <si>
    <t>Г. Смоленск, ул. Московский Большак, д. 55а</t>
  </si>
  <si>
    <t>Г. Смоленск, ул. Нахимсона, д. 16</t>
  </si>
  <si>
    <t>Г. Смоленск, ул. Николаева, д. 17</t>
  </si>
  <si>
    <t>Г. Смоленск, ул. Николаева, д. 22а</t>
  </si>
  <si>
    <t>Г. Смоленск, ул. Николаева, д. 7</t>
  </si>
  <si>
    <t>Г. Смоленск, ул. Ново-Московская, д. 38а</t>
  </si>
  <si>
    <t>Г. Смоленск, ул. Ново-Рославльская, д. 7</t>
  </si>
  <si>
    <t>Г. Смоленск, ул. Озерная, д. 1</t>
  </si>
  <si>
    <t>Г. Смоленск, ул. Папанина, д. 1а</t>
  </si>
  <si>
    <t>Г. Смоленск, ул. Пржевальского, д. 12</t>
  </si>
  <si>
    <t>Г. Смоленск, ул. Пржевальского, д. 8</t>
  </si>
  <si>
    <t>Г. Смоленск, ул. Пригородная, д. 1а</t>
  </si>
  <si>
    <t>Г. Смоленск, ул. Радищева, д. 1</t>
  </si>
  <si>
    <t>Г. Смоленск, ул. Радищева, д. 3</t>
  </si>
  <si>
    <t>Г. Смоленск, ул. Радищева, д. 3а</t>
  </si>
  <si>
    <t>Г. Смоленск, ул. Радищева, д. 5</t>
  </si>
  <si>
    <t>Г. Смоленск, ул. Радищева, д. 5а</t>
  </si>
  <si>
    <t>Г. Смоленск, ул. Радищева, д. 9</t>
  </si>
  <si>
    <t>Г. Смоленск, ул. Реввоенсовета, д. 11а</t>
  </si>
  <si>
    <t>Г. Смоленск, ул. Реввоенсовета, д. 16</t>
  </si>
  <si>
    <t>Г. Смоленск, ул. Реввоенсовета, д. 18</t>
  </si>
  <si>
    <t>Г. Смоленск, ул. Седова, д. 26а</t>
  </si>
  <si>
    <t>Г. Смоленск, ул. Седова, д. 60</t>
  </si>
  <si>
    <t>Г. Смоленск, ул. Соболева, д. 108</t>
  </si>
  <si>
    <t>Г. Смоленск, ул. Соболева, д. 110</t>
  </si>
  <si>
    <t>Г. Смоленск, ул. Соболева, д. 86</t>
  </si>
  <si>
    <t>Г. Смоленск, ул. Социалистическая, д. 9</t>
  </si>
  <si>
    <t>Г. Смоленск, ул. Станционная, д. 4</t>
  </si>
  <si>
    <t>Г. Смоленск, ул. Урицкого, д. 17</t>
  </si>
  <si>
    <t>Г. Смоленск, ул. Урицкого, д. 3</t>
  </si>
  <si>
    <t>Г. Смоленск, ул. Фрунзе, д. 16</t>
  </si>
  <si>
    <t>Г. Смоленск, ул. Фрунзе, д. 27</t>
  </si>
  <si>
    <t>Г. Смоленск, ул. Фрунзе, д. 29</t>
  </si>
  <si>
    <t>Г. Смоленск, ул. Фрунзе, д. 36а</t>
  </si>
  <si>
    <t>Г. Смоленск, ул. Фрунзе, д. 51</t>
  </si>
  <si>
    <t xml:space="preserve">Г. Смоленск, ул. Центральная, д. 13 </t>
  </si>
  <si>
    <t>Г. Смоленск, ул. Чернышевского, д. 10</t>
  </si>
  <si>
    <t xml:space="preserve">Г. Смоленск, ул. Чернышевского, д. 12 </t>
  </si>
  <si>
    <t>Г. Смоленск, ул. Чернышевского, д. 12а</t>
  </si>
  <si>
    <t>Г. Смоленск, ул. Чернышевского, д. 8</t>
  </si>
  <si>
    <t>Г. Смоленск, ул. Черняховского, д. 11а</t>
  </si>
  <si>
    <t>Г. Смоленск, ул. Черняховского, д. 11б</t>
  </si>
  <si>
    <t>Г. Смоленск, ул. Черняховского, д. 13а</t>
  </si>
  <si>
    <t>Г. Смоленск, ул. Черняховского, д. 18в</t>
  </si>
  <si>
    <t>Г. Смоленск, пер. Старо-Чернушенский, д. 2</t>
  </si>
  <si>
    <t>Г. Смоленск, ул. Черняховского, д. 22</t>
  </si>
  <si>
    <t>Г. Смоленск, ул. Черняховского, д. 22а</t>
  </si>
  <si>
    <t>Г. Смоленск, ул. Черняховского, д. 22б</t>
  </si>
  <si>
    <t>Г. Смоленск, ул. Черняховского, д. 24а</t>
  </si>
  <si>
    <t>Г. Смоленск, ул. Черняховского, д. 24б</t>
  </si>
  <si>
    <t>Г. Смоленск, ул. Черняховского, д. 26б</t>
  </si>
  <si>
    <t>Г. Смоленск, ул. Шоссейная, д. 1</t>
  </si>
  <si>
    <t>Г. Смоленск, ул. Шоссейная, д. 3</t>
  </si>
  <si>
    <t>Г. Смоленск, ул. Шоссейная, д. 4</t>
  </si>
  <si>
    <t>Г. Смоленск, ул. Шоссейная, д. 5</t>
  </si>
  <si>
    <t>Г. Смоленск, ул. Энгельса, д. 16</t>
  </si>
  <si>
    <t>Г. Смоленск, пер. Витебский, д. 18</t>
  </si>
  <si>
    <t>Г. Смоленск, пер. Станционный, д. 2</t>
  </si>
  <si>
    <t>Г. Смоленск, пер. Старо-Чернушенский, д. 2а</t>
  </si>
  <si>
    <t>Г. Смоленск, пос. 430 км, д. 19</t>
  </si>
  <si>
    <t>Г. Смоленск, пос. Красный Бор, в/ч 83283, д. 6</t>
  </si>
  <si>
    <t>Г. Смоленск, пос. Серебрянка, д. 50б</t>
  </si>
  <si>
    <t>Г. Смоленск, пос. Серебрянка, д. 50в</t>
  </si>
  <si>
    <t>Г. Смоленск, ул. 12 лет Октября, д. 7а</t>
  </si>
  <si>
    <t>Г. Смоленск, ул. 2-я Загорная, д. 16</t>
  </si>
  <si>
    <t>Г. Смоленск, ул. 2-я Киевская, д. 15</t>
  </si>
  <si>
    <t>Г. Смоленск, ул. 2-я Северная, д. 21/2</t>
  </si>
  <si>
    <t>Г. Смоленск, ул. 2-я Северная, д. 23</t>
  </si>
  <si>
    <t>Г. Смоленск, ул. 4-я Загорная, д. 8</t>
  </si>
  <si>
    <t>Г. Смоленск, ул. Белинского, д. 12</t>
  </si>
  <si>
    <t>Г. Смоленск, ул. Белинского, д. 2</t>
  </si>
  <si>
    <t>Г. Смоленск, ул. Белинского, д. 2а</t>
  </si>
  <si>
    <t>Г. Смоленск, ул. Белинского, д. 4</t>
  </si>
  <si>
    <t>Г. Смоленск, ул. Белинского, д. 4а</t>
  </si>
  <si>
    <t>Г. Смоленск, ул. Белинского, д. 6</t>
  </si>
  <si>
    <t>Г. Смоленск, ул. Белинского, д. 6а</t>
  </si>
  <si>
    <t>Г. Смоленск, ул. Белинского, д. 8</t>
  </si>
  <si>
    <t>Г. Смоленск, ул. Белинского, д. 8а</t>
  </si>
  <si>
    <t>Г. Смоленск, ул. Белинского, д. 9</t>
  </si>
  <si>
    <t>Г. Смоленск, ул. Белинского, д. 9а</t>
  </si>
  <si>
    <t>Г. Смоленск, ул. Брестская, д. 2</t>
  </si>
  <si>
    <t>Г. Смоленск, ул. Брестская, д. 3</t>
  </si>
  <si>
    <t>Г. Смоленск, ул. Брестская, д. 5</t>
  </si>
  <si>
    <t>Г. Смоленск, ул. Верхне-Рославльская, д. 20</t>
  </si>
  <si>
    <t>Г. Смоленск, ул. Войкова, д. 8а</t>
  </si>
  <si>
    <t>Г. Смоленск, ул. Генерала Лукина, д. 38</t>
  </si>
  <si>
    <t>Г. Смоленск, ул. Генерала Лукина, д. 40</t>
  </si>
  <si>
    <t>Г. Смоленск, ул. Глинки, д. 9</t>
  </si>
  <si>
    <t>Г. Смоленск, ул. Губенко, д. 18</t>
  </si>
  <si>
    <t>Г. Смоленск, ул. Губенко, д. 20</t>
  </si>
  <si>
    <t>Г. Смоленск, ул. Карбышева, д. 6</t>
  </si>
  <si>
    <t>Г. Смоленск, ул. Кирова, д. 1</t>
  </si>
  <si>
    <t>Г. Смоленск, ул. Кирова, д. 3</t>
  </si>
  <si>
    <t>Г. Смоленск, ул. Кирова, д. 30</t>
  </si>
  <si>
    <t>Г. Смоленск, ул. Кирова, д. 32</t>
  </si>
  <si>
    <t>Г. Смоленск, ул. Кирова, д. 4</t>
  </si>
  <si>
    <t>Г. Смоленск, ул. Кирова, д. 5</t>
  </si>
  <si>
    <t>Г. Смоленск, ул. Кирова, д. 6</t>
  </si>
  <si>
    <t>Г. Смоленск, ул. Кирова, д. 8</t>
  </si>
  <si>
    <t>Г. Смоленск, ул. Коммунистическая, д. 22</t>
  </si>
  <si>
    <t>Г. Смоленск, ул. Котовского, д. 1</t>
  </si>
  <si>
    <t>Г. Смоленск, ул. Котовского, д. 11а</t>
  </si>
  <si>
    <t>Г. Смоленск, ул. Котовского, д. 3а</t>
  </si>
  <si>
    <t>Г. Смоленск, ул. Лавочкина, д. 54</t>
  </si>
  <si>
    <t>Г. Смоленск, ул. Лавочкина, д. 61/2</t>
  </si>
  <si>
    <t>Г. Смоленск, ул. Ленина, д. 26</t>
  </si>
  <si>
    <t>Г. Смоленск, ул. Мало-Краснофлотская, д. 69а</t>
  </si>
  <si>
    <t>Г. Смоленск, ул. Марии Октябрьской, д. 6в</t>
  </si>
  <si>
    <t>Г. Смоленск, ул. Матросова, д. 20</t>
  </si>
  <si>
    <t>Г. Смоленск, ул. Минская, д. 5</t>
  </si>
  <si>
    <t>Г. Смоленск, ул. Минская, д. 7</t>
  </si>
  <si>
    <t>Г. Смоленск, ул. Московский Большак, д. 22</t>
  </si>
  <si>
    <t>Г. Смоленск, ул. Московское шоссе, д. 140</t>
  </si>
  <si>
    <t>Г. Смоленск, ул. Николаева, д. 15</t>
  </si>
  <si>
    <t>Г. Смоленск, ул. Николаева, д. 9</t>
  </si>
  <si>
    <t>Г. Смоленск, ул. Октябрьской революции, д. 7</t>
  </si>
  <si>
    <t>Г. Смоленск, ул. Парковая, д. 24</t>
  </si>
  <si>
    <t>Г. Смоленск, ул. Пролетарская, д. 13а</t>
  </si>
  <si>
    <t>Г. Смоленск, ул. Радищева, д. 11</t>
  </si>
  <si>
    <t>Г. Смоленск, ул. Радищева, д. 11а</t>
  </si>
  <si>
    <t>Г. Смоленск, ул. Седова, д. 54а</t>
  </si>
  <si>
    <t>Г. Смоленск, ул. Смоленская, д. 16</t>
  </si>
  <si>
    <t>Г. Смоленск, ул. Соболева, д. 107</t>
  </si>
  <si>
    <t>Г. Смоленск, ул. Соболева, д. 111а</t>
  </si>
  <si>
    <t>Г. Смоленск, ул. Соболева, д. 111б</t>
  </si>
  <si>
    <t>Г. Смоленск, ул. Соболева, д. 111в</t>
  </si>
  <si>
    <t>Г. Смоленск, ул. Соболева, д. 94</t>
  </si>
  <si>
    <t>Г. Смоленск, ул. Твардовского, д. 5/11</t>
  </si>
  <si>
    <t>Г. Смоленск, ул. Урицкого, д. 15</t>
  </si>
  <si>
    <t>Г. Смоленск, ул. Урицкого, д. 6</t>
  </si>
  <si>
    <t>Г. Смоленск, ул. Урицкого, д. 8</t>
  </si>
  <si>
    <t>Г. Смоленск, ул. Фрунзе, д. 31</t>
  </si>
  <si>
    <t>Г. Смоленск, ул. Фрунзе, д. 34</t>
  </si>
  <si>
    <t>Г. Смоленск, ул. Чернышевского, д. 14</t>
  </si>
  <si>
    <t>Г. Смоленск, ул. Чернышевского, д. 16</t>
  </si>
  <si>
    <t>Г. Смоленск, ул. Чернышевского, д. 6</t>
  </si>
  <si>
    <t>Г. Смоленск, ул. Чернышевского, д. 6а</t>
  </si>
  <si>
    <t>Г. Смоленск, ул. Чернышевского, д. 8а</t>
  </si>
  <si>
    <t>Г. Смоленск, ул. Черняховского, д. 18</t>
  </si>
  <si>
    <t>Г. Смоленск, ул. Черняховского, д. 18а</t>
  </si>
  <si>
    <t>Г. Смоленск, ул. Черняховского, д. 22в</t>
  </si>
  <si>
    <t>Г. Смоленск, ул. Черняховского, д. 23</t>
  </si>
  <si>
    <t>Г. Смоленск, ул. Шевченко, д. 78</t>
  </si>
  <si>
    <t>Г. Смоленск, ул. Щорса, д. 14а</t>
  </si>
  <si>
    <t>Г. Смоленск, ул. Станционная, д. 16</t>
  </si>
  <si>
    <t>Г. Смоленск, бульвар Гагарина, д. 6</t>
  </si>
  <si>
    <t>Г. Смоленск, пер. 2-й Краснофлотский, д. 34а</t>
  </si>
  <si>
    <t>Г. Смоленск, пер. 2-й Краснофлотский, д. 34б</t>
  </si>
  <si>
    <t>Г. Смоленск, пер. 2-й Краснофлотский, д. 34в</t>
  </si>
  <si>
    <t>Г. Смоленск, пер. 4-й Слобода-Садки, д. 35</t>
  </si>
  <si>
    <t>Г. Смоленск, пер. Запольный, д. 1</t>
  </si>
  <si>
    <t>Г. Смоленск, пер. Запольный, д. 3</t>
  </si>
  <si>
    <t>Г. Смоленск, пер. Ново-Чернушенский, д. 2</t>
  </si>
  <si>
    <t>Г. Смоленск, пер. Станционный, д. 4</t>
  </si>
  <si>
    <t>Г. Смоленск, пер. Хлебозаводской, д. 18</t>
  </si>
  <si>
    <t>Г. Смоленск, пос. Гедеоновка, д. 12</t>
  </si>
  <si>
    <t>Г. Смоленск, пос. Гедеоновка, д. 13</t>
  </si>
  <si>
    <t>Г. Смоленск, пос. Красный Бор, в/ч 83283, д. 3</t>
  </si>
  <si>
    <t>Г. Смоленск, пос. Красный Бор, в/ч 83283, д. 4</t>
  </si>
  <si>
    <t>Г. Смоленск, пос. Серебрянка, д. 68а</t>
  </si>
  <si>
    <t>Г. Смоленск, ул. 4-я Загорная, д. 9</t>
  </si>
  <si>
    <t>Г. Смоленск, ул. Багратиона, д. 12/13</t>
  </si>
  <si>
    <t>Г. Смоленск, ул. Белинского, д. 7</t>
  </si>
  <si>
    <t>Г. Смоленск, ул. Брестская, д. 1</t>
  </si>
  <si>
    <t>Г. Смоленск, ул. Воробьева, д. 36</t>
  </si>
  <si>
    <t>Г. Смоленск, ул. Гастелло, д. 12</t>
  </si>
  <si>
    <t>Г. Смоленск, ул. Гастелло, д. 20</t>
  </si>
  <si>
    <t>Г. Смоленск, ул. Генерала Городнянского, д. 3</t>
  </si>
  <si>
    <t>Г. Смоленск, ул. Герцена, д. 13</t>
  </si>
  <si>
    <t>Г. Смоленск, ул. Госпитальная, д. 31</t>
  </si>
  <si>
    <t>Г. Смоленск, ул. Дзержинского, д. 2а</t>
  </si>
  <si>
    <t>Г. Смоленск, ул. Докучаева, д. 11</t>
  </si>
  <si>
    <t>Г. Смоленск, ул. Докучаева, д. 6</t>
  </si>
  <si>
    <t>Г. Смоленск, ул. Кирова, д. 2/57</t>
  </si>
  <si>
    <t>Г. Смоленск, ул. Кирова, д. 29</t>
  </si>
  <si>
    <t>Г. Смоленск, ул. Кирова, д. 2а</t>
  </si>
  <si>
    <t>Г. Смоленск, ул. Козлова, д. 5</t>
  </si>
  <si>
    <t>Г. Смоленск, ул. Коненкова, д. 8</t>
  </si>
  <si>
    <t>Г. Смоленск, ул. Котовского, д. 7</t>
  </si>
  <si>
    <t>Г. Смоленск, ул. Крупской, д. 43/2</t>
  </si>
  <si>
    <t>Г. Смоленск, ул. Кутузова, д. 6</t>
  </si>
  <si>
    <t>Г. Смоленск, ул. Ленина, д. 30</t>
  </si>
  <si>
    <t>Г. Смоленск, ул. Ленина, д. 38</t>
  </si>
  <si>
    <t>Г. Смоленск, ул. Ломоносова, д. 3</t>
  </si>
  <si>
    <t>Г. Смоленск, ул. Мало-Краснофлотская, д. 31</t>
  </si>
  <si>
    <t>Г. Смоленск, ул. Мало-Краснофлотская, д. 33</t>
  </si>
  <si>
    <t>Г. Смоленск, ул. Мало-Краснофлотская, д. 35</t>
  </si>
  <si>
    <t>Г. Смоленск, ул. Московский Большак, д. 47</t>
  </si>
  <si>
    <t>Г. Смоленск, ул. Нахимова, д. 11</t>
  </si>
  <si>
    <t>Г. Смоленск, ул. Николаева, д. 51</t>
  </si>
  <si>
    <t>Г. Смоленск, ул. Николаева, д. 61/38</t>
  </si>
  <si>
    <t>Г. Смоленск, ул. Папанина, д. 12а</t>
  </si>
  <si>
    <t>Г. Смоленск, ул. Попова, д. 4</t>
  </si>
  <si>
    <t>Г. Смоленск, ул. Рабочая, д. 5</t>
  </si>
  <si>
    <t>Г. Смоленск, ул. Раевского, д. 1</t>
  </si>
  <si>
    <t>Г. Смоленск, ул. Раевского, д. 3</t>
  </si>
  <si>
    <t>Г. Смоленск, ул. Реввоенсовета, д. 20</t>
  </si>
  <si>
    <t>Г. Смоленск, ул. Седова, д. 31а</t>
  </si>
  <si>
    <t>Г. Смоленск, ул. Седова, д. 56</t>
  </si>
  <si>
    <t>Г. Смоленск, ул. Седова, д. 56а</t>
  </si>
  <si>
    <t>Г. Смоленск, ул. Соболева, д. 84</t>
  </si>
  <si>
    <t>Г. Смоленск, ул. Социалистическая, д. 2а</t>
  </si>
  <si>
    <t>Г. Смоленск, ул. Шевченко, д. 80</t>
  </si>
  <si>
    <t>Г. Смоленск, ул. Шевченко, д. 82</t>
  </si>
  <si>
    <t>Г. Смоленск, ул. Шевченко, д. 84/2</t>
  </si>
  <si>
    <t>Г. Смоленск, ул. Воробьева, д. 15</t>
  </si>
  <si>
    <t>Г. Смоленск, ул. Крупской, д. 65</t>
  </si>
  <si>
    <t>Г. Смоленск, ул. Октябрьской революции, д. 18</t>
  </si>
  <si>
    <t>Г. Смоленск, ул. Багратиона, д. 57б</t>
  </si>
  <si>
    <t>Г. Смоленск, ул. Николаева, д. 52</t>
  </si>
  <si>
    <t>Итого по Демидовскому городскому поселению Демидовского района Смоленской области</t>
  </si>
  <si>
    <t>С. Первомайский, ул. Советская, д. 6</t>
  </si>
  <si>
    <t>Дер. Мощинки, ул. Садовая, д. 5</t>
  </si>
  <si>
    <t>Дер. Мощинки, ул. Садовая, д. 7</t>
  </si>
  <si>
    <t>Г. Рославль, пос. ТЭЦ, д. 4</t>
  </si>
  <si>
    <t>1.</t>
  </si>
  <si>
    <t>2.</t>
  </si>
  <si>
    <t>8.</t>
  </si>
  <si>
    <t>21.</t>
  </si>
  <si>
    <t>35.</t>
  </si>
  <si>
    <t>50.</t>
  </si>
  <si>
    <t>55.</t>
  </si>
  <si>
    <t>58.</t>
  </si>
  <si>
    <t>61.</t>
  </si>
  <si>
    <t>62.</t>
  </si>
  <si>
    <t>64.</t>
  </si>
  <si>
    <t>65.</t>
  </si>
  <si>
    <t>66.</t>
  </si>
  <si>
    <t>67.</t>
  </si>
  <si>
    <t>71.</t>
  </si>
  <si>
    <t>72.</t>
  </si>
  <si>
    <t>74.</t>
  </si>
  <si>
    <t>79.</t>
  </si>
  <si>
    <t>80.</t>
  </si>
  <si>
    <t>82.</t>
  </si>
  <si>
    <t>83.</t>
  </si>
  <si>
    <t>95.</t>
  </si>
  <si>
    <t>96.</t>
  </si>
  <si>
    <t>97.</t>
  </si>
  <si>
    <t>99.</t>
  </si>
  <si>
    <t>100.</t>
  </si>
  <si>
    <t>102.</t>
  </si>
  <si>
    <t>103.</t>
  </si>
  <si>
    <t>104.</t>
  </si>
  <si>
    <t>108.</t>
  </si>
  <si>
    <t>114.</t>
  </si>
  <si>
    <t>115.</t>
  </si>
  <si>
    <t>116.</t>
  </si>
  <si>
    <t>117.</t>
  </si>
  <si>
    <t>123.</t>
  </si>
  <si>
    <t>125.</t>
  </si>
  <si>
    <t>126.</t>
  </si>
  <si>
    <t>129.</t>
  </si>
  <si>
    <t>130.</t>
  </si>
  <si>
    <t>131.</t>
  </si>
  <si>
    <t>132.</t>
  </si>
  <si>
    <t>134.</t>
  </si>
  <si>
    <t>143.</t>
  </si>
  <si>
    <t>158.</t>
  </si>
  <si>
    <t>159.</t>
  </si>
  <si>
    <t>163.</t>
  </si>
  <si>
    <t>167.</t>
  </si>
  <si>
    <t>168.</t>
  </si>
  <si>
    <t>176.</t>
  </si>
  <si>
    <t>193.</t>
  </si>
  <si>
    <t>200.</t>
  </si>
  <si>
    <t>206.</t>
  </si>
  <si>
    <t>219.</t>
  </si>
  <si>
    <t>226.</t>
  </si>
  <si>
    <t>230.</t>
  </si>
  <si>
    <t>233.</t>
  </si>
  <si>
    <t>235.</t>
  </si>
  <si>
    <t>238.</t>
  </si>
  <si>
    <t>239.</t>
  </si>
  <si>
    <t>240.</t>
  </si>
  <si>
    <t>241.</t>
  </si>
  <si>
    <t>245.</t>
  </si>
  <si>
    <t>248.</t>
  </si>
  <si>
    <t>258.</t>
  </si>
  <si>
    <t>264.</t>
  </si>
  <si>
    <t>265.</t>
  </si>
  <si>
    <t>266.</t>
  </si>
  <si>
    <t>267.</t>
  </si>
  <si>
    <t>268.</t>
  </si>
  <si>
    <t>269.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</si>
  <si>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</si>
  <si>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</si>
  <si>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</si>
  <si>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</si>
  <si>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</si>
  <si>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</si>
  <si>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</si>
  <si>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</si>
  <si>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</si>
  <si>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</si>
  <si>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</si>
  <si>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</si>
  <si>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</si>
  <si>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</si>
  <si>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</si>
  <si>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</si>
  <si>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289.</t>
  </si>
  <si>
    <t>290.</t>
  </si>
  <si>
    <t>291.</t>
  </si>
  <si>
    <t>292.</t>
  </si>
  <si>
    <t>293.</t>
  </si>
  <si>
    <t>294.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</si>
  <si>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</si>
  <si>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</si>
  <si>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</si>
  <si>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</si>
  <si>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</si>
  <si>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</si>
  <si>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</si>
  <si>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</si>
  <si>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</si>
  <si>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</si>
  <si>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</si>
  <si>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</si>
  <si>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</si>
  <si>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</si>
  <si>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</si>
  <si>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</si>
  <si>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</si>
  <si>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</si>
  <si>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</si>
  <si>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</si>
  <si>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</si>
  <si>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</si>
  <si>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</si>
  <si>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</si>
  <si>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</si>
  <si>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</si>
  <si>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</si>
  <si>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</si>
  <si>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</si>
  <si>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</si>
  <si>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</si>
  <si>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</si>
  <si>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</si>
  <si>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</si>
  <si>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331.</t>
  </si>
  <si>
    <t>332.</t>
  </si>
  <si>
    <t>333.</t>
  </si>
  <si>
    <t>334.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</si>
  <si>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</si>
  <si>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</si>
  <si>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</si>
  <si>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</si>
  <si>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</si>
  <si>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</si>
  <si>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</si>
  <si>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</si>
  <si>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</si>
  <si>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</si>
  <si>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</si>
  <si>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</si>
  <si>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</si>
  <si>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</si>
  <si>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</si>
  <si>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</si>
  <si>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</si>
  <si>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</si>
  <si>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</si>
  <si>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</si>
  <si>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</si>
  <si>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</si>
  <si>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</si>
  <si>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</si>
  <si>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</si>
  <si>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</si>
  <si>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</si>
  <si>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</si>
  <si>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</si>
  <si>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</si>
  <si>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</si>
  <si>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</si>
  <si>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</si>
  <si>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</si>
  <si>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</si>
  <si>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</si>
  <si>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</si>
  <si>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</si>
  <si>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</si>
  <si>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</si>
  <si>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</si>
  <si>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</si>
  <si>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</si>
  <si>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</si>
  <si>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</si>
  <si>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</si>
  <si>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</si>
  <si>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</si>
  <si>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</si>
  <si>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</si>
  <si>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</si>
  <si>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</si>
  <si>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</si>
  <si>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</si>
  <si>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</si>
  <si>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</si>
  <si>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</si>
  <si>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</si>
  <si>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</si>
  <si>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</si>
  <si>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</si>
  <si>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</si>
  <si>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</si>
  <si>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</si>
  <si>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</si>
  <si>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</si>
  <si>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</si>
  <si>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</si>
  <si>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</si>
  <si>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</si>
  <si>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</si>
  <si>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</si>
  <si>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</si>
  <si>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</si>
  <si>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</si>
  <si>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</si>
  <si>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</si>
  <si>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</si>
  <si>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</si>
  <si>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</si>
  <si>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</si>
  <si>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</si>
  <si>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</si>
  <si>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</si>
  <si>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</si>
  <si>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</si>
  <si>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</si>
  <si>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</si>
  <si>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</si>
  <si>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</si>
  <si>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</si>
  <si>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</si>
  <si>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580.</t>
  </si>
  <si>
    <t>581.</t>
  </si>
  <si>
    <t>582.</t>
  </si>
  <si>
    <t>583.</t>
  </si>
  <si>
    <t>584.</t>
  </si>
  <si>
    <t>585.</t>
  </si>
  <si>
    <t>586.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</si>
  <si>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</si>
  <si>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</si>
  <si>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</si>
  <si>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</si>
  <si>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</si>
  <si>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</si>
  <si>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</si>
  <si>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</si>
  <si>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</si>
  <si>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</si>
  <si>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</si>
  <si>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</si>
  <si>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</si>
  <si>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</si>
  <si>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</si>
  <si>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</si>
  <si>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</si>
  <si>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</si>
  <si>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</si>
  <si>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</si>
  <si>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</si>
  <si>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</si>
  <si>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</si>
  <si>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</si>
  <si>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</si>
  <si>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</si>
  <si>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</si>
  <si>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</si>
  <si>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</si>
  <si>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</si>
  <si>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</si>
  <si>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</si>
  <si>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</si>
  <si>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</si>
  <si>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</si>
  <si>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</si>
  <si>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</si>
  <si>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</si>
  <si>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</si>
  <si>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</si>
  <si>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</si>
  <si>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</si>
  <si>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</si>
  <si>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</si>
  <si>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</si>
  <si>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</si>
  <si>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</si>
  <si>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</si>
  <si>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</si>
  <si>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</si>
  <si>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</si>
  <si>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</si>
  <si>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</si>
  <si>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</si>
  <si>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</si>
  <si>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</si>
  <si>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</si>
  <si>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</si>
  <si>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</si>
  <si>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</si>
  <si>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</si>
  <si>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</si>
  <si>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</si>
  <si>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</si>
  <si>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</si>
  <si>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</si>
  <si>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</si>
  <si>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</si>
  <si>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</si>
  <si>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</si>
  <si>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</si>
  <si>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</si>
  <si>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</si>
  <si>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</si>
  <si>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</si>
  <si>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</si>
  <si>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</si>
  <si>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</si>
  <si>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</si>
  <si>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</si>
  <si>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</si>
  <si>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</si>
  <si>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</si>
  <si>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</si>
  <si>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</si>
  <si>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</si>
  <si>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</si>
  <si>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</si>
  <si>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</si>
  <si>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</si>
  <si>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</si>
  <si>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</si>
  <si>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</si>
  <si>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</si>
  <si>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</si>
  <si>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</si>
  <si>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</si>
  <si>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</si>
  <si>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</si>
  <si>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</si>
  <si>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</si>
  <si>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</si>
  <si>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</si>
  <si>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</si>
  <si>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</si>
  <si>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</si>
  <si>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</si>
  <si>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</si>
  <si>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</si>
  <si>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</si>
  <si>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</si>
  <si>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</si>
  <si>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</si>
  <si>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</si>
  <si>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</si>
  <si>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</si>
  <si>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</si>
  <si>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</si>
  <si>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</si>
  <si>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</si>
  <si>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</si>
  <si>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</si>
  <si>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</si>
  <si>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</si>
  <si>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</si>
  <si>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</si>
  <si>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</si>
  <si>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</si>
  <si>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</si>
  <si>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</si>
  <si>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</si>
  <si>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</si>
  <si>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</si>
  <si>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</si>
  <si>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</si>
  <si>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</si>
  <si>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</si>
  <si>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</si>
  <si>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</si>
  <si>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</si>
  <si>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</si>
  <si>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</si>
  <si>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</si>
  <si>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</si>
  <si>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</si>
  <si>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</si>
  <si>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</si>
  <si>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</si>
  <si>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</si>
  <si>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</si>
  <si>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</si>
  <si>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</si>
  <si>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</si>
  <si>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</si>
  <si>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</si>
  <si>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</si>
  <si>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</si>
  <si>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</si>
  <si>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</si>
  <si>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</si>
  <si>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</si>
  <si>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</si>
  <si>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</si>
  <si>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</si>
  <si>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</si>
  <si>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</si>
  <si>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</si>
  <si>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</si>
  <si>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</si>
  <si>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</si>
  <si>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</si>
  <si>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</si>
  <si>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</si>
  <si>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</si>
  <si>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</si>
  <si>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</si>
  <si>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</si>
  <si>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</si>
  <si>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</si>
  <si>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</si>
  <si>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</si>
  <si>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</si>
  <si>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</si>
  <si>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</si>
  <si>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</si>
  <si>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</si>
  <si>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</si>
  <si>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</si>
  <si>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</si>
  <si>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</si>
  <si>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</si>
  <si>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</si>
  <si>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</si>
  <si>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</si>
  <si>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</si>
  <si>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</si>
  <si>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</si>
  <si>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</si>
  <si>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</si>
  <si>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</si>
  <si>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</si>
  <si>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</si>
  <si>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</si>
  <si>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</si>
  <si>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</si>
  <si>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</si>
  <si>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</si>
  <si>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</si>
  <si>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</si>
  <si>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</si>
  <si>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</si>
  <si>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</si>
  <si>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</si>
  <si>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</si>
  <si>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</si>
  <si>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</si>
  <si>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</si>
  <si>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</si>
  <si>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</si>
  <si>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</si>
  <si>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</si>
  <si>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</si>
  <si>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</si>
  <si>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</si>
  <si>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818.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</si>
  <si>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</si>
  <si>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</si>
  <si>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</si>
  <si>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</si>
  <si>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</si>
  <si>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</si>
  <si>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</si>
  <si>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</si>
  <si>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</si>
  <si>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829.</t>
  </si>
  <si>
    <t>Итого по муниципальному образованию «город Десногорск» Смоленской области</t>
  </si>
  <si>
    <t>Г. Десногорск, мкрн. 1, д. 2</t>
  </si>
  <si>
    <t>830.</t>
  </si>
  <si>
    <t>Итого по Андрейковскому сельскому поселению Вяземского района Смоленской области</t>
  </si>
  <si>
    <t>Итого по Знаменскому сельскому поселению Угранского района Смоленской области</t>
  </si>
  <si>
    <t>Итого по Угранскому сельскому поселению Угранского района Смоленской области</t>
  </si>
  <si>
    <t>Г. Смоленск, ул. Молодежная, д. 16</t>
  </si>
  <si>
    <t>Пос. Хиславичи, ул. Советская, д. 39</t>
  </si>
  <si>
    <t>Пос. Хиславичи, пер. Кооперативный, д. 2</t>
  </si>
  <si>
    <t>Итого по Мерлинскому сельскому поселению Краснинского района Смоленской области</t>
  </si>
  <si>
    <t>Дер. Маньково, ул. Моисеенкова, д. 5</t>
  </si>
  <si>
    <t>Г. Сафоново, ул. Революционная, д. 2</t>
  </si>
  <si>
    <t>Г. Сафоново, ул. Революционная, д. 4</t>
  </si>
  <si>
    <t>Г. Починок, ул. Красноармейская, д. 66</t>
  </si>
  <si>
    <t>Г. Починок, ул. Советская, д. 65</t>
  </si>
  <si>
    <t>Г. Гагарин, пер. Пионерский, д. 14</t>
  </si>
  <si>
    <t>Г. Гагарин, ул. Ленина, д. 75</t>
  </si>
  <si>
    <t>Г. Гагарин, ул. Пушная, д. 2</t>
  </si>
  <si>
    <t>Г. Смоленск, ул. Исаковского, д. 16</t>
  </si>
  <si>
    <t>Г. Вязьма, ул. Юбилейная, д. 11</t>
  </si>
  <si>
    <t>Г. Вязьма, ул. Полевая, д. 7</t>
  </si>
  <si>
    <t>Итого по Барановскому сельскому поселению Сафоновского района Смоленской области</t>
  </si>
  <si>
    <t>Дер. Бараново, ул. Советская, д. 16</t>
  </si>
  <si>
    <t>Г. Смоленск, ул. 2-я Киевская, д. 8</t>
  </si>
  <si>
    <t>Г. Смоленск, пос. Вязовенька, д. 2а</t>
  </si>
  <si>
    <t>С. Новодугино, ул. Специалистов, д. 3</t>
  </si>
  <si>
    <t>Г. Ельня, ул. Капитанова, д. 38</t>
  </si>
  <si>
    <t>Г. Смоленск, ул. Шевченко, д. 42</t>
  </si>
  <si>
    <t>101.</t>
  </si>
  <si>
    <t>232.</t>
  </si>
  <si>
    <t>270.</t>
  </si>
  <si>
    <t>271.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</si>
  <si>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</si>
  <si>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</si>
  <si>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</si>
  <si>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</si>
  <si>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</si>
  <si>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</si>
  <si>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</si>
  <si>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</si>
  <si>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</si>
  <si>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</si>
  <si>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</si>
  <si>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</si>
  <si>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</si>
  <si>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</si>
  <si>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</si>
  <si>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</si>
  <si>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</si>
  <si>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</si>
  <si>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</si>
  <si>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</si>
  <si>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</si>
  <si>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</si>
  <si>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</si>
  <si>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</si>
  <si>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</si>
  <si>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</si>
  <si>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</si>
  <si>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</si>
  <si>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</si>
  <si>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</si>
  <si>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</si>
  <si>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</si>
  <si>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</si>
  <si>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</si>
  <si>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</si>
  <si>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</si>
  <si>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</si>
  <si>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</si>
  <si>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</si>
  <si>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</si>
  <si>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</si>
  <si>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</si>
  <si>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</si>
  <si>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</si>
  <si>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</si>
  <si>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</si>
  <si>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</si>
  <si>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</si>
  <si>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</si>
  <si>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</si>
  <si>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</si>
  <si>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</si>
  <si>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</si>
  <si>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</si>
  <si>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</si>
  <si>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</si>
  <si>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</si>
  <si>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</si>
  <si>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</si>
  <si>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</si>
  <si>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</si>
  <si>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</si>
  <si>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</si>
  <si>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</si>
  <si>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</si>
  <si>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</si>
  <si>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</si>
  <si>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</si>
  <si>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</si>
  <si>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</si>
  <si>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</si>
  <si>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</si>
  <si>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</si>
  <si>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</si>
  <si>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</si>
  <si>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</si>
  <si>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</si>
  <si>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</si>
  <si>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</si>
  <si>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</si>
  <si>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</si>
  <si>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</si>
  <si>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</si>
  <si>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</si>
  <si>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</si>
  <si>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</si>
  <si>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</si>
  <si>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</si>
  <si>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</si>
  <si>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</si>
  <si>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</si>
  <si>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</si>
  <si>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</si>
  <si>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</si>
  <si>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</si>
  <si>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</si>
  <si>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</si>
  <si>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</si>
  <si>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</si>
  <si>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</si>
  <si>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</si>
  <si>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</si>
  <si>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</si>
  <si>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</si>
  <si>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</si>
  <si>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</si>
  <si>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</si>
  <si>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</si>
  <si>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</si>
  <si>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</si>
  <si>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</si>
  <si>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</si>
  <si>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</si>
  <si>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</si>
  <si>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</si>
  <si>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</si>
  <si>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</si>
  <si>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</si>
  <si>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</si>
  <si>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</si>
  <si>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</si>
  <si>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</si>
  <si>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</si>
  <si>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</si>
  <si>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</si>
  <si>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493.</t>
  </si>
  <si>
    <t>494.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</si>
  <si>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</si>
  <si>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</si>
  <si>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</si>
  <si>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</si>
  <si>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</si>
  <si>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</si>
  <si>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</si>
  <si>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</si>
  <si>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</si>
  <si>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</si>
  <si>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</si>
  <si>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</si>
  <si>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</si>
  <si>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</si>
  <si>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</si>
  <si>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</si>
  <si>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</si>
  <si>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</si>
  <si>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555.</t>
  </si>
  <si>
    <t>587.</t>
  </si>
  <si>
    <t>828.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</si>
  <si>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</si>
  <si>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</si>
  <si>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</si>
  <si>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</si>
  <si>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</si>
  <si>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</si>
  <si>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</si>
  <si>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</si>
  <si>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</si>
  <si>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</si>
  <si>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</si>
  <si>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</si>
  <si>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Г. Смоленск, пос. Анастасино, д. 36</t>
  </si>
  <si>
    <t>Г. Демидов, пр. Суворовский, д. 14</t>
  </si>
  <si>
    <t>Г. Гагарин, ул. Мелиоративная, д. 22</t>
  </si>
  <si>
    <t>Итого по Вязьма-Брянскому сельскому поселению Вяземского района Смоленской области</t>
  </si>
  <si>
    <t>С. Вязьма-Брянская, ул. Авиационная, д. 3</t>
  </si>
  <si>
    <t>Пос. Хиславичи, ул. Берестнева, д. 27</t>
  </si>
  <si>
    <t>Пос. Монастырщина, ул. Мира, д. 17</t>
  </si>
  <si>
    <t>Г. Вязьма, мкрн. Березы, д. 14</t>
  </si>
  <si>
    <t>Г. Вязьма, ул. Кронштадтская, д. 35</t>
  </si>
  <si>
    <t>Г. Вязьма, ул. Ползунова, д. 23</t>
  </si>
  <si>
    <t>Г. Вязьма, ул. Строителей, д. 6</t>
  </si>
  <si>
    <t>Г. Вязьма, ул. Ленина, д. 1/2</t>
  </si>
  <si>
    <t>Дер. Тюхменево, ул. Карьероуправления, д. 15</t>
  </si>
  <si>
    <t>Г. Рудня, ул. Станционная, д. 12</t>
  </si>
  <si>
    <t>Дер. Березино, ул. Центральная, д. 10</t>
  </si>
  <si>
    <t>Дер. Лонница, ул. Мира, д. 5</t>
  </si>
  <si>
    <t>Г. Смоленск, городок Коминтерна, д. 3</t>
  </si>
  <si>
    <t>Г. Смоленск, ул. Нахимова, д. 20</t>
  </si>
  <si>
    <t xml:space="preserve">Г. Ярцево, ул. Ленинская, д. 2 </t>
  </si>
  <si>
    <t>Г. Смоленск, ул. Чапаева, д. 4</t>
  </si>
  <si>
    <t>Итого по Воргинскому сельскому поселению Ершичского района Смоленской области</t>
  </si>
  <si>
    <t>С. Ворга, пер. Первомайский, д. 2</t>
  </si>
  <si>
    <t>Г. Смоленск, ул. Ново-Рославльская, д. 4</t>
  </si>
  <si>
    <t>Дер. Новые Батеки, ул. Школьная, д. 18</t>
  </si>
  <si>
    <t>Дер. Новые Батеки, ул. Школьная, д. 15</t>
  </si>
  <si>
    <t>Дер. Новые Батеки, ул. Школьная, д. 13</t>
  </si>
  <si>
    <t>Дер. Новые Батеки, ул. Школьная, д. 11</t>
  </si>
  <si>
    <t>Г. Вязьма, ул. Ленина, д. 6</t>
  </si>
  <si>
    <t xml:space="preserve">Г. Смоленск, ул. Реввоенсовета, д. 17 </t>
  </si>
  <si>
    <t xml:space="preserve">Г. Смоленск, ул. Нахимсона, д. 5 </t>
  </si>
  <si>
    <t xml:space="preserve">Г. Смоленск, ул. Исаковского, д. 18 </t>
  </si>
  <si>
    <t xml:space="preserve">Г. Смоленск, ул. Ленина, д. 31/19 </t>
  </si>
  <si>
    <t xml:space="preserve">Г. Смоленск, городок Коминтерна, д. 13 </t>
  </si>
  <si>
    <t xml:space="preserve">Г. Смоленск, городок Коминтерна, д. 14 </t>
  </si>
  <si>
    <t xml:space="preserve">Г. Смоленск, городок Коминтерна, д. 15 </t>
  </si>
  <si>
    <t xml:space="preserve">Г. Смоленск, ул. Маршала Жукова, д. 27 </t>
  </si>
  <si>
    <t xml:space="preserve">Г. Рославль, ул. Ленина, д. 5 </t>
  </si>
  <si>
    <t>Г. Смоленск, ул. Карла Маркса, д. 12а</t>
  </si>
  <si>
    <t xml:space="preserve">Г. Смоленск, ул. Соболева, д. 30 </t>
  </si>
  <si>
    <t>Г. Смоленск, ул. Твардовского, д. 16</t>
  </si>
  <si>
    <t xml:space="preserve">Г. Смоленск, ул. Тенишевой, д. 6 </t>
  </si>
  <si>
    <t xml:space="preserve">Г. Ярцево, ул. Чернышевского, д. 8 </t>
  </si>
  <si>
    <t>Г. Смоленск, просп. Гагарина, д. 24</t>
  </si>
  <si>
    <t>Г. Смоленск, ул. Крупской, д. 48</t>
  </si>
  <si>
    <t>Г. Смоленск, ул. 12 лет Октября, д. 5</t>
  </si>
  <si>
    <t>Г. Смоленск, ул. Нахимова, д. 7</t>
  </si>
  <si>
    <t>Г. Смоленск, ул. Пржевальского, д. 1/5</t>
  </si>
  <si>
    <t>Г. Смоленск, ул. Коммунистическая, д. 5</t>
  </si>
  <si>
    <t>Г. Смоленск, ул. Попова, д. 132</t>
  </si>
  <si>
    <t>Г. Смоленск, ул. Исаковского, д. 12/1</t>
  </si>
  <si>
    <t>Г. Рославль, мкрн. 15, д. 28</t>
  </si>
  <si>
    <t>Дер. Козловка, ул. Мира, д. 35</t>
  </si>
  <si>
    <t>С. Остер, ул. Советская, д. 3</t>
  </si>
  <si>
    <t>С. Остер, ул. Советская, д. 7</t>
  </si>
  <si>
    <t>Итого по Рыбковскому сельскому поселению Сафоновского района Смоленской области</t>
  </si>
  <si>
    <t>Дер. Рыбки, ул. Центральная, д. 3</t>
  </si>
  <si>
    <t>Пос. Красный, ул. Глинки, д. 5</t>
  </si>
  <si>
    <t>Пос. Монастырщина, территория Сельхозтехника, 
д. 10</t>
  </si>
  <si>
    <t>Г. Смоленск, Витебское шоссе, д. 38</t>
  </si>
  <si>
    <t>Г. Ярцево, ул. Гагарина, д. 23</t>
  </si>
  <si>
    <t>Г. Ярцево, ул. Первомайская, д. 24</t>
  </si>
  <si>
    <t>Г. Смоленск, ул. Войкова, д. 1</t>
  </si>
  <si>
    <t>Г. Смоленск, ул. Бакунина, д. 2</t>
  </si>
  <si>
    <t xml:space="preserve">Итого по Татарскому сельскому поселению Монастырщинского района Смоленской области </t>
  </si>
  <si>
    <t>Дер. Татарск, д. 112</t>
  </si>
  <si>
    <t>Г. Смоленск, ул. Нахимсона, д. 3</t>
  </si>
  <si>
    <t>Г. Смоленск, ул. Радищева, д. 1а</t>
  </si>
  <si>
    <t>Г. Смоленск, ул. Центральная, д. 22</t>
  </si>
  <si>
    <t>Г. Смоленск, ул. Колхозная, д. 14</t>
  </si>
  <si>
    <t>Г. Вязьма, ул. 25 Октября, д. 10а</t>
  </si>
  <si>
    <t>Г. Рославль, мкрн. 17, д. 9</t>
  </si>
  <si>
    <t>Итого по Пречистенскому сельскому поселению Духовщинского района Смоленской области</t>
  </si>
  <si>
    <t xml:space="preserve">С. Пречистое, пер. 2-й Октябрьский, д. 1 </t>
  </si>
  <si>
    <t>Итого по Гагаринскому сельскому поселению Гагаринского района Смоленской области</t>
  </si>
  <si>
    <t>Дер. Клушино, ул. Молодежная, д. 8</t>
  </si>
  <si>
    <t>Г. Смоленск, ул. 2-я линия Красноармейской слободы, д. 5</t>
  </si>
  <si>
    <t>Г. Смоленск, ул. Коммунистическая, д. 6</t>
  </si>
  <si>
    <t>Г. Смоленск, ул. Лавочкина, д. 62</t>
  </si>
  <si>
    <t>Г. Смоленск, ул. Нарвская, д. 21, корпус 3</t>
  </si>
  <si>
    <t>С. Остер, ул. Советская, д. 14</t>
  </si>
  <si>
    <t>3.</t>
  </si>
  <si>
    <t>4.</t>
  </si>
  <si>
    <t>5.</t>
  </si>
  <si>
    <t>6.</t>
  </si>
  <si>
    <t>7.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</si>
  <si>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</si>
  <si>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</si>
  <si>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</si>
  <si>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</si>
  <si>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</si>
  <si>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</si>
  <si>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</si>
  <si>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</si>
  <si>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</si>
  <si>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</si>
  <si>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</si>
  <si>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</si>
  <si>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</si>
  <si>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</si>
  <si>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</si>
  <si>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</si>
  <si>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</si>
  <si>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</si>
  <si>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</si>
  <si>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</si>
  <si>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</si>
  <si>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</si>
  <si>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34.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</si>
  <si>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</si>
  <si>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</si>
  <si>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</si>
  <si>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</si>
  <si>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</si>
  <si>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</si>
  <si>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</si>
  <si>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</si>
  <si>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</si>
  <si>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</si>
  <si>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</si>
  <si>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</si>
  <si>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</si>
  <si>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</si>
  <si>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51.</t>
  </si>
  <si>
    <t>52.</t>
  </si>
  <si>
    <t>53.</t>
  </si>
  <si>
    <t>54.</t>
  </si>
  <si>
    <t>56.</t>
  </si>
  <si>
    <t>57.</t>
  </si>
  <si>
    <t>59.</t>
  </si>
  <si>
    <t>60.</t>
  </si>
  <si>
    <t>63.</t>
  </si>
  <si>
    <t>68.</t>
  </si>
  <si>
    <t>69.</t>
  </si>
  <si>
    <t>70.</t>
  </si>
  <si>
    <t>73.</t>
  </si>
  <si>
    <t>75.</t>
  </si>
  <si>
    <t>76.</t>
  </si>
  <si>
    <t>77.</t>
  </si>
  <si>
    <t>78.</t>
  </si>
  <si>
    <t>81.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</si>
  <si>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</si>
  <si>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</si>
  <si>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</si>
  <si>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</si>
  <si>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</si>
  <si>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</si>
  <si>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</si>
  <si>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</si>
  <si>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</si>
  <si>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</si>
  <si>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</si>
  <si>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98.</t>
  </si>
  <si>
    <t>105.</t>
  </si>
  <si>
    <t>106.</t>
  </si>
  <si>
    <t>107.</t>
  </si>
  <si>
    <t>109.</t>
  </si>
  <si>
    <t>110.</t>
  </si>
  <si>
    <t>111.</t>
  </si>
  <si>
    <t>112.</t>
  </si>
  <si>
    <t>113.</t>
  </si>
  <si>
    <t>118.</t>
  </si>
  <si>
    <t>119.</t>
  </si>
  <si>
    <t>120.</t>
  </si>
  <si>
    <t>121.</t>
  </si>
  <si>
    <t>122.</t>
  </si>
  <si>
    <t>124.</t>
  </si>
  <si>
    <t>127.</t>
  </si>
  <si>
    <t>128.</t>
  </si>
  <si>
    <t>133.</t>
  </si>
  <si>
    <t>135.</t>
  </si>
  <si>
    <t>136.</t>
  </si>
  <si>
    <t>137.</t>
  </si>
  <si>
    <t>138.</t>
  </si>
  <si>
    <t>139.</t>
  </si>
  <si>
    <t>140.</t>
  </si>
  <si>
    <t>141.</t>
  </si>
  <si>
    <t>142.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</si>
  <si>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</si>
  <si>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</si>
  <si>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</si>
  <si>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</si>
  <si>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</si>
  <si>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</si>
  <si>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</si>
  <si>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</si>
  <si>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</si>
  <si>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</si>
  <si>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</si>
  <si>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</si>
  <si>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</si>
  <si>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</si>
  <si>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160.</t>
  </si>
  <si>
    <t>161.</t>
  </si>
  <si>
    <t>162.</t>
  </si>
  <si>
    <t>164.</t>
  </si>
  <si>
    <t>165.</t>
  </si>
  <si>
    <t>166.</t>
  </si>
  <si>
    <t>169.</t>
  </si>
  <si>
    <t>170.</t>
  </si>
  <si>
    <t>171.</t>
  </si>
  <si>
    <t>172.</t>
  </si>
  <si>
    <t>173.</t>
  </si>
  <si>
    <t>174.</t>
  </si>
  <si>
    <t>175.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</si>
  <si>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</si>
  <si>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</si>
  <si>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</si>
  <si>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</si>
  <si>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</si>
  <si>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</si>
  <si>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</si>
  <si>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</si>
  <si>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</si>
  <si>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</si>
  <si>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</si>
  <si>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</si>
  <si>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</si>
  <si>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</si>
  <si>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</si>
  <si>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</si>
  <si>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194.</t>
  </si>
  <si>
    <t>195.</t>
  </si>
  <si>
    <t>196.</t>
  </si>
  <si>
    <t>197.</t>
  </si>
  <si>
    <t>198.</t>
  </si>
  <si>
    <t>199.</t>
  </si>
  <si>
    <t>202.</t>
  </si>
  <si>
    <t>203.</t>
  </si>
  <si>
    <t>204.</t>
  </si>
  <si>
    <t>205.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</si>
  <si>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</si>
  <si>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</si>
  <si>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</si>
  <si>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</si>
  <si>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</si>
  <si>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</si>
  <si>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</si>
  <si>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</si>
  <si>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</si>
  <si>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</si>
  <si>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</si>
  <si>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</si>
  <si>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220.</t>
  </si>
  <si>
    <t>222.</t>
  </si>
  <si>
    <t>223.</t>
  </si>
  <si>
    <t>224.</t>
  </si>
  <si>
    <t>225.</t>
  </si>
  <si>
    <t>227.</t>
  </si>
  <si>
    <t>228.</t>
  </si>
  <si>
    <t>229.</t>
  </si>
  <si>
    <t>231.</t>
  </si>
  <si>
    <t>234.</t>
  </si>
  <si>
    <t>236.</t>
  </si>
  <si>
    <t>237.</t>
  </si>
  <si>
    <t>242.</t>
  </si>
  <si>
    <t>243.</t>
  </si>
  <si>
    <t>244.</t>
  </si>
  <si>
    <t>246.</t>
  </si>
  <si>
    <t>247.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</si>
  <si>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</si>
  <si>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</si>
  <si>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</si>
  <si>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</si>
  <si>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</si>
  <si>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</si>
  <si>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</si>
  <si>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</si>
  <si>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</si>
  <si>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259.</t>
  </si>
  <si>
    <t>260.</t>
  </si>
  <si>
    <t>261.</t>
  </si>
  <si>
    <t>262.</t>
  </si>
  <si>
    <t>263.</t>
  </si>
  <si>
    <t>288.</t>
  </si>
  <si>
    <t>335.</t>
  </si>
  <si>
    <t>404.</t>
  </si>
  <si>
    <t>527.</t>
  </si>
  <si>
    <t>528.</t>
  </si>
  <si>
    <t>579.</t>
  </si>
  <si>
    <t>670.</t>
  </si>
  <si>
    <t>778.</t>
  </si>
  <si>
    <t>779.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</si>
  <si>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</si>
  <si>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</si>
  <si>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</si>
  <si>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</si>
  <si>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</si>
  <si>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</si>
  <si>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</si>
  <si>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</si>
  <si>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</si>
  <si>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</si>
  <si>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</si>
  <si>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</si>
  <si>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</si>
  <si>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</si>
  <si>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</si>
  <si>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</si>
  <si>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</si>
  <si>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</si>
  <si>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</si>
  <si>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</si>
  <si>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</si>
  <si>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</si>
  <si>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</si>
  <si>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</si>
  <si>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</si>
  <si>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</si>
  <si>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</si>
  <si>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870.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</si>
  <si>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</si>
  <si>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</si>
  <si>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</si>
  <si>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</si>
  <si>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</si>
  <si>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</si>
  <si>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</si>
  <si>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</si>
  <si>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</si>
  <si>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</si>
  <si>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</si>
  <si>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</si>
  <si>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</si>
  <si>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</si>
  <si>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</si>
  <si>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</si>
  <si>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</si>
  <si>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</si>
  <si>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</si>
  <si>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</si>
  <si>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</si>
  <si>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</si>
  <si>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</si>
  <si>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</si>
  <si>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</si>
  <si>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</si>
  <si>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</si>
  <si>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</si>
  <si>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</si>
  <si>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</si>
  <si>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</si>
  <si>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</si>
  <si>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</si>
  <si>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</si>
  <si>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</si>
  <si>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</si>
  <si>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</si>
  <si>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</si>
  <si>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</si>
  <si>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</si>
  <si>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</si>
  <si>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</si>
  <si>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</si>
  <si>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</si>
  <si>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</si>
  <si>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</si>
  <si>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</si>
  <si>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</si>
  <si>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</si>
  <si>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</si>
  <si>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</si>
  <si>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</si>
  <si>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</si>
  <si>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</si>
  <si>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</si>
  <si>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</si>
  <si>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</si>
  <si>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</si>
  <si>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</si>
  <si>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</si>
  <si>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</si>
  <si>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</si>
  <si>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</si>
  <si>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</si>
  <si>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</si>
  <si>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</si>
  <si>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</si>
  <si>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</si>
  <si>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</si>
  <si>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</si>
  <si>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</si>
  <si>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</si>
  <si>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</si>
  <si>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</si>
  <si>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</si>
  <si>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</si>
  <si>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</si>
  <si>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</si>
  <si>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</si>
  <si>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</si>
  <si>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</si>
  <si>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</si>
  <si>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</si>
  <si>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</si>
  <si>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</si>
  <si>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</si>
  <si>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</si>
  <si>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</si>
  <si>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</si>
  <si>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ремонт, замена, модернизация лифтов, ремонт лифтовых шахт, машинных и блочных помещений</t>
  </si>
  <si>
    <t xml:space="preserve"> холодного водоснабжения</t>
  </si>
  <si>
    <t xml:space="preserve"> горячего водоснабжения</t>
  </si>
  <si>
    <t>водоотведения</t>
  </si>
  <si>
    <t>газоснабжения</t>
  </si>
  <si>
    <t>всего</t>
  </si>
  <si>
    <t>ремонт внутридомовых инженерных систем</t>
  </si>
  <si>
    <t>Г. Сафоново, ул. Гастелло, д. 15</t>
  </si>
  <si>
    <t>С. Остер, ул. Строителей, д. 2</t>
  </si>
  <si>
    <t>С. Остер, ул. Строителей, д. 4</t>
  </si>
  <si>
    <t>Г. Смоленск, ул. Октябрьской революции, д. 40</t>
  </si>
  <si>
    <t>Итого по Булгаковскому сельскому поселению Духовщинского района Смоленской области</t>
  </si>
  <si>
    <t>Дер. Большое Береснево, ул. Лесная, д. 5</t>
  </si>
  <si>
    <t>Итого по Озерненскому городскому поселению Духовщинского района Смоленской области</t>
  </si>
  <si>
    <t>Пос. Озерный, ул. Ленина, д. 3/3</t>
  </si>
  <si>
    <t>Пос. Озерный, ул. Строителей, д. 12/5</t>
  </si>
  <si>
    <t>Пос. Озерный, ул. Строителей, д. 24</t>
  </si>
  <si>
    <t>Пос. Кардымово, ул. Каменка, д. 13</t>
  </si>
  <si>
    <t>Итого по Корохоткинскому сельскому поселению Смоленского района Смоленской области</t>
  </si>
  <si>
    <t>Пос. Гедеоновка, ул. Полевая, д. 3</t>
  </si>
  <si>
    <t>Г. Сафоново, ул. 40 лет Октября, д. 10</t>
  </si>
  <si>
    <t>Итого по Каменскому сельскому поселению Кардымовского района Смоленской области</t>
  </si>
  <si>
    <t>Итого по Тюшинскому сельскому поселению Кардымовского района Смоленской области</t>
  </si>
  <si>
    <t>Итого по Козинскому сельскому поселению Смоленского района Смоленской области</t>
  </si>
  <si>
    <t>Дер. Богородицкое, ул. Викторова, д. 27</t>
  </si>
  <si>
    <t>Пос. Верхнеднепровский, ул. Комсомольская, д. 27</t>
  </si>
  <si>
    <t>Пос. Шумячи, ул. Садовая, д. 41а</t>
  </si>
  <si>
    <t>Г. Дорогобуж, ул. Мира, д. 38</t>
  </si>
  <si>
    <t>электроснабжения</t>
  </si>
  <si>
    <t>теплоснабжения</t>
  </si>
  <si>
    <t>22.</t>
  </si>
  <si>
    <t>33.</t>
  </si>
  <si>
    <t>Итого по Игоревскому сельскому поселению Холм-Жирковского района Смоленской области</t>
  </si>
  <si>
    <t>Ст. Игоревская, ул. Южная, д. 7</t>
  </si>
  <si>
    <t>201.</t>
  </si>
  <si>
    <t>221.</t>
  </si>
  <si>
    <t>295.</t>
  </si>
  <si>
    <t>330.</t>
  </si>
  <si>
    <t>492.</t>
  </si>
  <si>
    <t>495.</t>
  </si>
  <si>
    <t>694.</t>
  </si>
  <si>
    <t>765.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</si>
  <si>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</si>
  <si>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</si>
  <si>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</si>
  <si>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</si>
  <si>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</si>
  <si>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</si>
  <si>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</si>
  <si>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</si>
  <si>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</si>
  <si>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</si>
  <si>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</si>
  <si>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Итого по Ленинскому сельскому поселению Починковского района Смоленской области</t>
  </si>
  <si>
    <t>Итого по Любавичскому сельскому поселению Руднянского района Смоленской области</t>
  </si>
  <si>
    <t>Итого по Ярцевскому городскому поселению</t>
  </si>
  <si>
    <t>Итого по Велижскому городскому поселению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</si>
</sst>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2" fillId="0" borderId="0"/>
    <xf numFmtId="0" fontId="13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8">
    <xf numFmtId="0" fontId="0" fillId="0" borderId="0" xfId="0"/>
    <xf numFmtId="4" fontId="5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1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  <protection hidden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10" applyFont="1" applyFill="1" applyBorder="1" applyAlignment="1" applyProtection="1">
      <alignment horizontal="left" vertical="center" wrapText="1"/>
      <protection locked="0"/>
    </xf>
    <xf numFmtId="49" fontId="4" fillId="0" borderId="1" xfId="0" quotePrefix="1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" fontId="4" fillId="0" borderId="1" xfId="9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5" fillId="0" borderId="0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/>
    </xf>
    <xf numFmtId="4" fontId="6" fillId="0" borderId="5" xfId="0" applyNumberFormat="1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4" fontId="4" fillId="0" borderId="5" xfId="0" applyNumberFormat="1" applyFont="1" applyFill="1" applyBorder="1" applyAlignment="1">
      <alignment horizontal="center" vertical="top" wrapText="1"/>
    </xf>
    <xf numFmtId="4" fontId="4" fillId="0" borderId="6" xfId="0" applyNumberFormat="1" applyFont="1" applyFill="1" applyBorder="1" applyAlignment="1">
      <alignment horizontal="center" vertical="top" wrapText="1"/>
    </xf>
    <xf numFmtId="4" fontId="4" fillId="0" borderId="7" xfId="0" applyNumberFormat="1" applyFont="1" applyFill="1" applyBorder="1" applyAlignment="1">
      <alignment horizontal="center" vertical="top" wrapText="1"/>
    </xf>
    <xf numFmtId="4" fontId="4" fillId="0" borderId="1" xfId="0" applyNumberFormat="1" applyFont="1" applyFill="1" applyBorder="1" applyAlignment="1">
      <alignment horizontal="center" vertical="top" wrapText="1"/>
    </xf>
    <xf numFmtId="4" fontId="6" fillId="0" borderId="1" xfId="0" applyNumberFormat="1" applyFont="1" applyFill="1" applyBorder="1" applyAlignment="1">
      <alignment horizontal="center" vertical="top" wrapText="1"/>
    </xf>
    <xf numFmtId="4" fontId="4" fillId="0" borderId="8" xfId="0" applyNumberFormat="1" applyFont="1" applyFill="1" applyBorder="1" applyAlignment="1">
      <alignment horizontal="center" vertical="top" wrapText="1"/>
    </xf>
    <xf numFmtId="4" fontId="4" fillId="0" borderId="9" xfId="0" applyNumberFormat="1" applyFont="1" applyFill="1" applyBorder="1" applyAlignment="1">
      <alignment horizontal="center" vertical="top" wrapText="1"/>
    </xf>
    <xf numFmtId="4" fontId="4" fillId="0" borderId="10" xfId="0" applyNumberFormat="1" applyFont="1" applyFill="1" applyBorder="1" applyAlignment="1">
      <alignment horizontal="center" vertical="top" wrapText="1"/>
    </xf>
    <xf numFmtId="4" fontId="4" fillId="0" borderId="11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Fill="1" applyBorder="1" applyAlignment="1">
      <alignment horizontal="center" vertical="top" wrapText="1"/>
    </xf>
    <xf numFmtId="4" fontId="4" fillId="0" borderId="4" xfId="0" applyNumberFormat="1" applyFont="1" applyFill="1" applyBorder="1" applyAlignment="1">
      <alignment horizontal="center" vertical="top" wrapText="1"/>
    </xf>
    <xf numFmtId="4" fontId="4" fillId="0" borderId="3" xfId="0" applyNumberFormat="1" applyFont="1" applyFill="1" applyBorder="1" applyAlignment="1">
      <alignment horizontal="center" vertical="top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</cellXfs>
  <cellStyles count="13">
    <cellStyle name="Обычный" xfId="0" builtinId="0"/>
    <cellStyle name="Обычный 10" xfId="1"/>
    <cellStyle name="Обычный 2" xfId="2"/>
    <cellStyle name="Обычный 2 2" xfId="3"/>
    <cellStyle name="Обычный 3" xfId="4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_Перечень жилого фонда не выбравших способ управления" xfId="10"/>
    <cellStyle name="Финансовый" xfId="11" builtinId="3"/>
    <cellStyle name="Финансовый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илож"/>
    </sheetNames>
    <sheetDataSet>
      <sheetData sheetId="0">
        <row r="35">
          <cell r="H35">
            <v>2097.3000000000002</v>
          </cell>
        </row>
        <row r="39">
          <cell r="H39">
            <v>996.4</v>
          </cell>
        </row>
        <row r="77">
          <cell r="H77">
            <v>5758.2</v>
          </cell>
        </row>
        <row r="187">
          <cell r="H187">
            <v>312</v>
          </cell>
        </row>
        <row r="463">
          <cell r="H463">
            <v>801.87</v>
          </cell>
        </row>
        <row r="484">
          <cell r="H484">
            <v>1693</v>
          </cell>
        </row>
        <row r="520">
          <cell r="H520">
            <v>745.5</v>
          </cell>
        </row>
        <row r="524">
          <cell r="H524">
            <v>2473.4899999999998</v>
          </cell>
        </row>
        <row r="526">
          <cell r="H526">
            <v>1445.8</v>
          </cell>
        </row>
        <row r="587">
          <cell r="H587">
            <v>2748.95</v>
          </cell>
        </row>
        <row r="624">
          <cell r="H624">
            <v>646.76</v>
          </cell>
        </row>
        <row r="654">
          <cell r="H654">
            <v>1032.5</v>
          </cell>
        </row>
        <row r="668">
          <cell r="H668">
            <v>932.1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X1117"/>
  <sheetViews>
    <sheetView tabSelected="1" view="pageBreakPreview" topLeftCell="A1084" zoomScale="70" zoomScaleNormal="50" zoomScaleSheetLayoutView="70" zoomScalePageLayoutView="40" workbookViewId="0">
      <selection activeCell="B1048" sqref="B1048"/>
    </sheetView>
  </sheetViews>
  <sheetFormatPr defaultRowHeight="15.75"/>
  <cols>
    <col min="1" max="1" width="6.42578125" style="6" customWidth="1"/>
    <col min="2" max="2" width="54.7109375" style="16" customWidth="1"/>
    <col min="3" max="3" width="19.85546875" style="11" customWidth="1"/>
    <col min="4" max="4" width="17" style="11" customWidth="1"/>
    <col min="5" max="5" width="19.7109375" style="11" customWidth="1"/>
    <col min="6" max="10" width="17" style="11" customWidth="1"/>
    <col min="11" max="11" width="6.85546875" style="44" customWidth="1"/>
    <col min="12" max="12" width="16.42578125" style="11" customWidth="1"/>
    <col min="13" max="13" width="13.7109375" style="11" customWidth="1"/>
    <col min="14" max="14" width="19" style="11" customWidth="1"/>
    <col min="15" max="15" width="10.5703125" style="11" customWidth="1"/>
    <col min="16" max="16" width="16.42578125" style="11" customWidth="1"/>
    <col min="17" max="17" width="12.7109375" style="11" customWidth="1"/>
    <col min="18" max="18" width="18.42578125" style="11" customWidth="1"/>
    <col min="19" max="19" width="15.7109375" style="11" customWidth="1"/>
    <col min="20" max="20" width="18.42578125" style="11" customWidth="1"/>
    <col min="21" max="21" width="16.5703125" style="11" customWidth="1"/>
    <col min="22" max="22" width="18.85546875" style="2" customWidth="1"/>
    <col min="23" max="16384" width="9.140625" style="2"/>
  </cols>
  <sheetData>
    <row r="1" spans="1:22" ht="19.5" customHeight="1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</row>
    <row r="2" spans="1:22" ht="19.5" customHeight="1">
      <c r="A2" s="49"/>
      <c r="B2" s="49"/>
      <c r="C2" s="49"/>
      <c r="D2" s="49"/>
      <c r="E2" s="49"/>
      <c r="F2" s="49"/>
      <c r="G2" s="49"/>
      <c r="H2" s="49"/>
      <c r="I2" s="49"/>
      <c r="J2" s="49"/>
      <c r="K2" s="41"/>
      <c r="L2" s="49"/>
      <c r="M2" s="49"/>
      <c r="N2" s="49"/>
      <c r="O2" s="4"/>
      <c r="P2" s="4"/>
      <c r="Q2" s="4"/>
      <c r="R2" s="4"/>
      <c r="S2" s="4"/>
      <c r="T2" s="4"/>
      <c r="U2" s="4"/>
    </row>
    <row r="3" spans="1:22" ht="192" customHeight="1">
      <c r="A3" s="59" t="s">
        <v>16</v>
      </c>
      <c r="B3" s="62" t="s">
        <v>15</v>
      </c>
      <c r="C3" s="72" t="s">
        <v>13</v>
      </c>
      <c r="D3" s="66" t="s">
        <v>4</v>
      </c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53" t="s">
        <v>12</v>
      </c>
      <c r="U3" s="54"/>
    </row>
    <row r="4" spans="1:22" ht="31.5" customHeight="1">
      <c r="A4" s="60"/>
      <c r="B4" s="62"/>
      <c r="C4" s="73"/>
      <c r="D4" s="63" t="s">
        <v>1919</v>
      </c>
      <c r="E4" s="64"/>
      <c r="F4" s="64"/>
      <c r="G4" s="64"/>
      <c r="H4" s="64"/>
      <c r="I4" s="64"/>
      <c r="J4" s="65"/>
      <c r="K4" s="68" t="s">
        <v>1913</v>
      </c>
      <c r="L4" s="69"/>
      <c r="M4" s="68" t="s">
        <v>8</v>
      </c>
      <c r="N4" s="69"/>
      <c r="O4" s="68" t="s">
        <v>6</v>
      </c>
      <c r="P4" s="69"/>
      <c r="Q4" s="68" t="s">
        <v>9</v>
      </c>
      <c r="R4" s="69"/>
      <c r="S4" s="72" t="s">
        <v>14</v>
      </c>
      <c r="T4" s="67" t="s">
        <v>5</v>
      </c>
      <c r="U4" s="66" t="s">
        <v>3</v>
      </c>
    </row>
    <row r="5" spans="1:22" ht="190.5" customHeight="1">
      <c r="A5" s="60"/>
      <c r="B5" s="62"/>
      <c r="C5" s="74"/>
      <c r="D5" s="51" t="s">
        <v>1918</v>
      </c>
      <c r="E5" s="50" t="s">
        <v>1941</v>
      </c>
      <c r="F5" s="50" t="s">
        <v>1942</v>
      </c>
      <c r="G5" s="50" t="s">
        <v>1914</v>
      </c>
      <c r="H5" s="50" t="s">
        <v>1915</v>
      </c>
      <c r="I5" s="50" t="s">
        <v>1916</v>
      </c>
      <c r="J5" s="50" t="s">
        <v>1917</v>
      </c>
      <c r="K5" s="70"/>
      <c r="L5" s="71"/>
      <c r="M5" s="70"/>
      <c r="N5" s="71"/>
      <c r="O5" s="70"/>
      <c r="P5" s="71"/>
      <c r="Q5" s="70"/>
      <c r="R5" s="71"/>
      <c r="S5" s="74"/>
      <c r="T5" s="67"/>
      <c r="U5" s="66"/>
    </row>
    <row r="6" spans="1:22" ht="18" customHeight="1">
      <c r="A6" s="61"/>
      <c r="B6" s="62"/>
      <c r="C6" s="3" t="s">
        <v>7</v>
      </c>
      <c r="D6" s="3" t="s">
        <v>7</v>
      </c>
      <c r="E6" s="3" t="s">
        <v>7</v>
      </c>
      <c r="F6" s="3" t="s">
        <v>7</v>
      </c>
      <c r="G6" s="3" t="s">
        <v>7</v>
      </c>
      <c r="H6" s="3" t="s">
        <v>7</v>
      </c>
      <c r="I6" s="3" t="s">
        <v>7</v>
      </c>
      <c r="J6" s="3" t="s">
        <v>7</v>
      </c>
      <c r="K6" s="5" t="s">
        <v>10</v>
      </c>
      <c r="L6" s="3" t="s">
        <v>7</v>
      </c>
      <c r="M6" s="3" t="s">
        <v>18</v>
      </c>
      <c r="N6" s="3" t="s">
        <v>7</v>
      </c>
      <c r="O6" s="3" t="s">
        <v>18</v>
      </c>
      <c r="P6" s="3" t="s">
        <v>7</v>
      </c>
      <c r="Q6" s="3" t="s">
        <v>18</v>
      </c>
      <c r="R6" s="3" t="s">
        <v>7</v>
      </c>
      <c r="S6" s="3" t="s">
        <v>7</v>
      </c>
      <c r="T6" s="3" t="s">
        <v>7</v>
      </c>
      <c r="U6" s="3" t="s">
        <v>7</v>
      </c>
    </row>
    <row r="7" spans="1:22" s="7" customFormat="1" ht="15" customHeight="1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  <c r="U7" s="5">
        <v>21</v>
      </c>
    </row>
    <row r="8" spans="1:22" ht="24.95" customHeight="1">
      <c r="A8" s="75" t="s">
        <v>26</v>
      </c>
      <c r="B8" s="75"/>
      <c r="C8" s="1">
        <f t="shared" ref="C8:U8" si="0">C10+C358+C774</f>
        <v>4094059539.8899994</v>
      </c>
      <c r="D8" s="1">
        <f t="shared" si="0"/>
        <v>936055739.12</v>
      </c>
      <c r="E8" s="1">
        <f t="shared" si="0"/>
        <v>154880107</v>
      </c>
      <c r="F8" s="1">
        <f t="shared" si="0"/>
        <v>334979510.12</v>
      </c>
      <c r="G8" s="1">
        <f t="shared" si="0"/>
        <v>136069728</v>
      </c>
      <c r="H8" s="1">
        <f t="shared" si="0"/>
        <v>139038350</v>
      </c>
      <c r="I8" s="1">
        <f t="shared" si="0"/>
        <v>171088044</v>
      </c>
      <c r="J8" s="1">
        <f t="shared" si="0"/>
        <v>0</v>
      </c>
      <c r="K8" s="42">
        <f t="shared" si="0"/>
        <v>44</v>
      </c>
      <c r="L8" s="1">
        <f t="shared" si="0"/>
        <v>96250000</v>
      </c>
      <c r="M8" s="1">
        <f t="shared" si="0"/>
        <v>417534.01000000007</v>
      </c>
      <c r="N8" s="1">
        <f t="shared" si="0"/>
        <v>2050989911.51</v>
      </c>
      <c r="O8" s="1">
        <f t="shared" si="0"/>
        <v>8218.0499999999993</v>
      </c>
      <c r="P8" s="1">
        <f t="shared" si="0"/>
        <v>14636540</v>
      </c>
      <c r="Q8" s="1">
        <f t="shared" si="0"/>
        <v>292271.15999999997</v>
      </c>
      <c r="R8" s="1">
        <f t="shared" si="0"/>
        <v>767912184.95000005</v>
      </c>
      <c r="S8" s="1">
        <f t="shared" si="0"/>
        <v>17325794.109999999</v>
      </c>
      <c r="T8" s="1">
        <f t="shared" si="0"/>
        <v>680000</v>
      </c>
      <c r="U8" s="1">
        <f t="shared" si="0"/>
        <v>206040026.19999999</v>
      </c>
    </row>
    <row r="9" spans="1:22" s="45" customFormat="1" ht="24.95" customHeight="1">
      <c r="A9" s="57" t="s">
        <v>25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</row>
    <row r="10" spans="1:22" ht="24.95" customHeight="1">
      <c r="A10" s="56" t="s">
        <v>214</v>
      </c>
      <c r="B10" s="56"/>
      <c r="C10" s="1">
        <f>C11+C14+C30+C32+C34+C36+C38+C41+C44+C49+C54+C56+C59+C65+C61+C67+C69+C72+C74+C76+C79+C81+C83+C103+C106+C113+C121+C131+C133+C135+C137+C306+C311+C313+C316+C320+C324+C326+C328+C331+C333+C335+C338+C340+C342</f>
        <v>1397270461.2499998</v>
      </c>
      <c r="D10" s="1">
        <f t="shared" ref="D10:U10" si="1">D11+D14+D30+D32+D34+D36+D38+D41+D44+D49+D54+D56+D59+D61+D65+D67+D69+D72+D74+D76+D79+D81+D83+D103+D106+D113+D121+D131+D133+D135+D137+D306+D311+D313+D316+D320+D324+D326+D328+D331+D335+D338+D340+D342</f>
        <v>449756676.62</v>
      </c>
      <c r="E10" s="1">
        <f t="shared" si="1"/>
        <v>72712108.5</v>
      </c>
      <c r="F10" s="1">
        <f t="shared" si="1"/>
        <v>160739350.12</v>
      </c>
      <c r="G10" s="1">
        <f t="shared" si="1"/>
        <v>61502945</v>
      </c>
      <c r="H10" s="1">
        <f t="shared" si="1"/>
        <v>73016925</v>
      </c>
      <c r="I10" s="1">
        <f t="shared" si="1"/>
        <v>81785348</v>
      </c>
      <c r="J10" s="1">
        <f t="shared" si="1"/>
        <v>0</v>
      </c>
      <c r="K10" s="42">
        <f t="shared" si="1"/>
        <v>20</v>
      </c>
      <c r="L10" s="1">
        <f t="shared" si="1"/>
        <v>43600000</v>
      </c>
      <c r="M10" s="1">
        <f t="shared" si="1"/>
        <v>115344.51</v>
      </c>
      <c r="N10" s="1">
        <f t="shared" si="1"/>
        <v>534587330.10999995</v>
      </c>
      <c r="O10" s="1">
        <f t="shared" si="1"/>
        <v>5006.3499999999995</v>
      </c>
      <c r="P10" s="1">
        <f t="shared" si="1"/>
        <v>8216840</v>
      </c>
      <c r="Q10" s="1">
        <f t="shared" si="1"/>
        <v>102746.03</v>
      </c>
      <c r="R10" s="1">
        <f t="shared" si="1"/>
        <v>268700975.64999998</v>
      </c>
      <c r="S10" s="1">
        <f t="shared" si="1"/>
        <v>9868204.1099999994</v>
      </c>
      <c r="T10" s="1">
        <f t="shared" si="1"/>
        <v>680000</v>
      </c>
      <c r="U10" s="1">
        <f t="shared" si="1"/>
        <v>77691090.760000005</v>
      </c>
    </row>
    <row r="11" spans="1:22" s="9" customFormat="1" ht="45" customHeight="1">
      <c r="A11" s="55" t="s">
        <v>1969</v>
      </c>
      <c r="B11" s="55"/>
      <c r="C11" s="1">
        <f t="shared" ref="C11:C74" si="2">D11+L11+N11+P11+R11+S11+T11+U11</f>
        <v>5446579.5999999996</v>
      </c>
      <c r="D11" s="1">
        <f t="shared" ref="D11:U11" si="3">SUM(D12:D13)</f>
        <v>1170495</v>
      </c>
      <c r="E11" s="1">
        <f t="shared" si="3"/>
        <v>221445</v>
      </c>
      <c r="F11" s="1">
        <f t="shared" si="3"/>
        <v>506160</v>
      </c>
      <c r="G11" s="1">
        <f t="shared" si="3"/>
        <v>189810</v>
      </c>
      <c r="H11" s="1">
        <f t="shared" si="3"/>
        <v>0</v>
      </c>
      <c r="I11" s="1">
        <f t="shared" si="3"/>
        <v>253080</v>
      </c>
      <c r="J11" s="1">
        <f t="shared" si="3"/>
        <v>0</v>
      </c>
      <c r="K11" s="42">
        <f t="shared" si="3"/>
        <v>0</v>
      </c>
      <c r="L11" s="1">
        <f t="shared" si="3"/>
        <v>0</v>
      </c>
      <c r="M11" s="1">
        <f t="shared" si="3"/>
        <v>406</v>
      </c>
      <c r="N11" s="1">
        <f t="shared" si="3"/>
        <v>1339800</v>
      </c>
      <c r="O11" s="1">
        <f t="shared" si="3"/>
        <v>0</v>
      </c>
      <c r="P11" s="1">
        <f t="shared" si="3"/>
        <v>0</v>
      </c>
      <c r="Q11" s="1">
        <f t="shared" si="3"/>
        <v>666.52</v>
      </c>
      <c r="R11" s="1">
        <f t="shared" si="3"/>
        <v>1736284.6</v>
      </c>
      <c r="S11" s="1">
        <f t="shared" si="3"/>
        <v>0</v>
      </c>
      <c r="T11" s="1">
        <f t="shared" si="3"/>
        <v>0</v>
      </c>
      <c r="U11" s="1">
        <f t="shared" si="3"/>
        <v>1200000</v>
      </c>
      <c r="V11" s="46">
        <f>C11+C359+C775</f>
        <v>25047375.199999999</v>
      </c>
    </row>
    <row r="12" spans="1:22" ht="21.95" customHeight="1">
      <c r="A12" s="19" t="s">
        <v>858</v>
      </c>
      <c r="B12" s="20" t="s">
        <v>21</v>
      </c>
      <c r="C12" s="1">
        <f t="shared" si="2"/>
        <v>2873485.4</v>
      </c>
      <c r="D12" s="21">
        <f>SUM(E12:J12)</f>
        <v>625115</v>
      </c>
      <c r="E12" s="21">
        <f>350*337.9</f>
        <v>118264.99999999999</v>
      </c>
      <c r="F12" s="21">
        <f>800*337.9</f>
        <v>270320</v>
      </c>
      <c r="G12" s="21">
        <f>300*337.9</f>
        <v>101370</v>
      </c>
      <c r="H12" s="21">
        <f>500*0</f>
        <v>0</v>
      </c>
      <c r="I12" s="21">
        <f>400*337.9</f>
        <v>135160</v>
      </c>
      <c r="J12" s="21">
        <f>350*0</f>
        <v>0</v>
      </c>
      <c r="K12" s="40">
        <v>0</v>
      </c>
      <c r="L12" s="21">
        <v>0</v>
      </c>
      <c r="M12" s="21">
        <v>196</v>
      </c>
      <c r="N12" s="21">
        <v>646800</v>
      </c>
      <c r="O12" s="21">
        <v>0</v>
      </c>
      <c r="P12" s="21">
        <v>0</v>
      </c>
      <c r="Q12" s="21">
        <v>384.48</v>
      </c>
      <c r="R12" s="21">
        <v>1001570.4</v>
      </c>
      <c r="S12" s="21">
        <v>0</v>
      </c>
      <c r="T12" s="21">
        <v>0</v>
      </c>
      <c r="U12" s="21">
        <v>600000</v>
      </c>
    </row>
    <row r="13" spans="1:22" ht="21.95" customHeight="1">
      <c r="A13" s="19" t="s">
        <v>859</v>
      </c>
      <c r="B13" s="20" t="s">
        <v>22</v>
      </c>
      <c r="C13" s="1">
        <f t="shared" si="2"/>
        <v>2573094.2000000002</v>
      </c>
      <c r="D13" s="21">
        <f>SUM(E13:J13)</f>
        <v>545380</v>
      </c>
      <c r="E13" s="21">
        <f>350*294.8</f>
        <v>103180</v>
      </c>
      <c r="F13" s="21">
        <f>800*294.8</f>
        <v>235840</v>
      </c>
      <c r="G13" s="21">
        <f>300*294.8</f>
        <v>88440</v>
      </c>
      <c r="H13" s="21">
        <f>500*0</f>
        <v>0</v>
      </c>
      <c r="I13" s="21">
        <f>400*294.8</f>
        <v>117920</v>
      </c>
      <c r="J13" s="21">
        <f>350*0</f>
        <v>0</v>
      </c>
      <c r="K13" s="40">
        <v>0</v>
      </c>
      <c r="L13" s="21">
        <v>0</v>
      </c>
      <c r="M13" s="21">
        <v>210</v>
      </c>
      <c r="N13" s="21">
        <v>693000</v>
      </c>
      <c r="O13" s="21">
        <v>0</v>
      </c>
      <c r="P13" s="21">
        <v>0</v>
      </c>
      <c r="Q13" s="21">
        <v>282.04000000000002</v>
      </c>
      <c r="R13" s="21">
        <v>734714.2</v>
      </c>
      <c r="S13" s="21">
        <v>0</v>
      </c>
      <c r="T13" s="21">
        <v>0</v>
      </c>
      <c r="U13" s="21">
        <v>600000</v>
      </c>
    </row>
    <row r="14" spans="1:22" ht="45" customHeight="1">
      <c r="A14" s="55" t="s">
        <v>0</v>
      </c>
      <c r="B14" s="55"/>
      <c r="C14" s="1">
        <f t="shared" si="2"/>
        <v>55444609.5</v>
      </c>
      <c r="D14" s="1">
        <f t="shared" ref="D14:U14" si="4">SUM(D15:D29)</f>
        <v>2055897.5</v>
      </c>
      <c r="E14" s="1">
        <f t="shared" si="4"/>
        <v>306197.5</v>
      </c>
      <c r="F14" s="1">
        <f t="shared" si="4"/>
        <v>699880</v>
      </c>
      <c r="G14" s="1">
        <f t="shared" si="4"/>
        <v>262455</v>
      </c>
      <c r="H14" s="1">
        <f t="shared" si="4"/>
        <v>437425</v>
      </c>
      <c r="I14" s="1">
        <f t="shared" si="4"/>
        <v>349940</v>
      </c>
      <c r="J14" s="1">
        <f t="shared" si="4"/>
        <v>0</v>
      </c>
      <c r="K14" s="42">
        <f t="shared" si="4"/>
        <v>0</v>
      </c>
      <c r="L14" s="1">
        <f t="shared" si="4"/>
        <v>0</v>
      </c>
      <c r="M14" s="1">
        <f t="shared" si="4"/>
        <v>8447.52</v>
      </c>
      <c r="N14" s="1">
        <f t="shared" si="4"/>
        <v>43736256</v>
      </c>
      <c r="O14" s="1">
        <f t="shared" si="4"/>
        <v>182.3</v>
      </c>
      <c r="P14" s="1">
        <f t="shared" si="4"/>
        <v>218760</v>
      </c>
      <c r="Q14" s="1">
        <f t="shared" si="4"/>
        <v>1744.2</v>
      </c>
      <c r="R14" s="1">
        <f t="shared" si="4"/>
        <v>5060696</v>
      </c>
      <c r="S14" s="1">
        <f t="shared" si="4"/>
        <v>273000</v>
      </c>
      <c r="T14" s="1">
        <f t="shared" si="4"/>
        <v>0</v>
      </c>
      <c r="U14" s="1">
        <f t="shared" si="4"/>
        <v>4100000</v>
      </c>
      <c r="V14" s="13">
        <f>C14+C362+C778</f>
        <v>301842835.13999999</v>
      </c>
    </row>
    <row r="15" spans="1:22" ht="21.95" customHeight="1">
      <c r="A15" s="19" t="s">
        <v>1594</v>
      </c>
      <c r="B15" s="22" t="s">
        <v>39</v>
      </c>
      <c r="C15" s="1">
        <f t="shared" si="2"/>
        <v>7151453.5</v>
      </c>
      <c r="D15" s="21">
        <f>SUM(E15:J15)</f>
        <v>2055897.5</v>
      </c>
      <c r="E15" s="21">
        <f>350*874.85</f>
        <v>306197.5</v>
      </c>
      <c r="F15" s="21">
        <f>800*874.85</f>
        <v>699880</v>
      </c>
      <c r="G15" s="21">
        <f>300*874.85</f>
        <v>262455</v>
      </c>
      <c r="H15" s="21">
        <f>500*874.85</f>
        <v>437425</v>
      </c>
      <c r="I15" s="21">
        <f>400*874.85</f>
        <v>349940</v>
      </c>
      <c r="J15" s="21">
        <f>350*0</f>
        <v>0</v>
      </c>
      <c r="K15" s="40">
        <v>0</v>
      </c>
      <c r="L15" s="21">
        <v>0</v>
      </c>
      <c r="M15" s="21">
        <v>617</v>
      </c>
      <c r="N15" s="23">
        <v>3270100</v>
      </c>
      <c r="O15" s="21">
        <v>182.3</v>
      </c>
      <c r="P15" s="21">
        <v>218760</v>
      </c>
      <c r="Q15" s="21">
        <v>435.2</v>
      </c>
      <c r="R15" s="21">
        <v>1133696</v>
      </c>
      <c r="S15" s="21">
        <v>273000</v>
      </c>
      <c r="T15" s="21">
        <v>0</v>
      </c>
      <c r="U15" s="21">
        <v>200000</v>
      </c>
    </row>
    <row r="16" spans="1:22" ht="21.95" customHeight="1">
      <c r="A16" s="19" t="s">
        <v>1595</v>
      </c>
      <c r="B16" s="22" t="s">
        <v>41</v>
      </c>
      <c r="C16" s="1">
        <f t="shared" si="2"/>
        <v>9039040</v>
      </c>
      <c r="D16" s="21">
        <f>SUM(E16:J16)</f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40">
        <v>0</v>
      </c>
      <c r="L16" s="21">
        <v>0</v>
      </c>
      <c r="M16" s="21">
        <v>926.8</v>
      </c>
      <c r="N16" s="23">
        <v>4912040</v>
      </c>
      <c r="O16" s="21">
        <v>0</v>
      </c>
      <c r="P16" s="21">
        <v>0</v>
      </c>
      <c r="Q16" s="21">
        <v>1309</v>
      </c>
      <c r="R16" s="21">
        <v>3927000</v>
      </c>
      <c r="S16" s="21">
        <v>0</v>
      </c>
      <c r="T16" s="21">
        <v>0</v>
      </c>
      <c r="U16" s="21">
        <v>200000</v>
      </c>
    </row>
    <row r="17" spans="1:22" ht="21.95" customHeight="1">
      <c r="A17" s="19" t="s">
        <v>1596</v>
      </c>
      <c r="B17" s="24" t="s">
        <v>1583</v>
      </c>
      <c r="C17" s="1">
        <f t="shared" si="2"/>
        <v>1697800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40">
        <v>0</v>
      </c>
      <c r="L17" s="21">
        <v>0</v>
      </c>
      <c r="M17" s="21">
        <v>226</v>
      </c>
      <c r="N17" s="23">
        <v>1197800</v>
      </c>
      <c r="O17" s="21">
        <v>0</v>
      </c>
      <c r="P17" s="21">
        <v>0</v>
      </c>
      <c r="Q17" s="21">
        <v>0</v>
      </c>
      <c r="R17" s="21">
        <v>0</v>
      </c>
      <c r="S17" s="21">
        <v>0</v>
      </c>
      <c r="T17" s="21">
        <v>0</v>
      </c>
      <c r="U17" s="21">
        <v>500000</v>
      </c>
    </row>
    <row r="18" spans="1:22" ht="21.95" customHeight="1">
      <c r="A18" s="19" t="s">
        <v>1597</v>
      </c>
      <c r="B18" s="24" t="s">
        <v>44</v>
      </c>
      <c r="C18" s="1">
        <f t="shared" si="2"/>
        <v>3460560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40">
        <v>0</v>
      </c>
      <c r="L18" s="21">
        <v>0</v>
      </c>
      <c r="M18" s="21">
        <v>615.20000000000005</v>
      </c>
      <c r="N18" s="23">
        <v>3260560</v>
      </c>
      <c r="O18" s="21">
        <v>0</v>
      </c>
      <c r="P18" s="21">
        <v>0</v>
      </c>
      <c r="Q18" s="21">
        <v>0</v>
      </c>
      <c r="R18" s="21">
        <v>0</v>
      </c>
      <c r="S18" s="21">
        <v>0</v>
      </c>
      <c r="T18" s="21">
        <v>0</v>
      </c>
      <c r="U18" s="21">
        <v>200000</v>
      </c>
    </row>
    <row r="19" spans="1:22" ht="21.95" customHeight="1">
      <c r="A19" s="19" t="s">
        <v>1598</v>
      </c>
      <c r="B19" s="24" t="s">
        <v>45</v>
      </c>
      <c r="C19" s="1">
        <f t="shared" si="2"/>
        <v>5298600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40">
        <v>0</v>
      </c>
      <c r="L19" s="21">
        <v>0</v>
      </c>
      <c r="M19" s="21">
        <v>962</v>
      </c>
      <c r="N19" s="23">
        <v>5098600</v>
      </c>
      <c r="O19" s="21">
        <v>0</v>
      </c>
      <c r="P19" s="21">
        <v>0</v>
      </c>
      <c r="Q19" s="21">
        <v>0</v>
      </c>
      <c r="R19" s="21">
        <v>0</v>
      </c>
      <c r="S19" s="21">
        <v>0</v>
      </c>
      <c r="T19" s="21">
        <v>0</v>
      </c>
      <c r="U19" s="21">
        <v>200000</v>
      </c>
    </row>
    <row r="20" spans="1:22" ht="21.95" customHeight="1">
      <c r="A20" s="19" t="s">
        <v>860</v>
      </c>
      <c r="B20" s="24" t="s">
        <v>46</v>
      </c>
      <c r="C20" s="1">
        <f t="shared" si="2"/>
        <v>300000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40">
        <v>0</v>
      </c>
      <c r="L20" s="21">
        <v>0</v>
      </c>
      <c r="M20" s="21">
        <v>0</v>
      </c>
      <c r="N20" s="23">
        <v>0</v>
      </c>
      <c r="O20" s="21">
        <v>0</v>
      </c>
      <c r="P20" s="21">
        <v>0</v>
      </c>
      <c r="Q20" s="21">
        <v>0</v>
      </c>
      <c r="R20" s="21">
        <v>0</v>
      </c>
      <c r="S20" s="21">
        <v>0</v>
      </c>
      <c r="T20" s="21">
        <v>0</v>
      </c>
      <c r="U20" s="21">
        <v>300000</v>
      </c>
    </row>
    <row r="21" spans="1:22" ht="21.95" customHeight="1">
      <c r="A21" s="19" t="s">
        <v>1599</v>
      </c>
      <c r="B21" s="24" t="s">
        <v>47</v>
      </c>
      <c r="C21" s="1">
        <f t="shared" si="2"/>
        <v>4481870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40">
        <v>0</v>
      </c>
      <c r="L21" s="21">
        <v>0</v>
      </c>
      <c r="M21" s="21">
        <v>807.9</v>
      </c>
      <c r="N21" s="23">
        <f>M21*5300</f>
        <v>4281870</v>
      </c>
      <c r="O21" s="21">
        <v>0</v>
      </c>
      <c r="P21" s="21">
        <v>0</v>
      </c>
      <c r="Q21" s="21">
        <v>0</v>
      </c>
      <c r="R21" s="21">
        <v>0</v>
      </c>
      <c r="S21" s="21">
        <v>0</v>
      </c>
      <c r="T21" s="21">
        <v>0</v>
      </c>
      <c r="U21" s="21">
        <v>200000</v>
      </c>
    </row>
    <row r="22" spans="1:22" ht="21.95" customHeight="1">
      <c r="A22" s="19" t="s">
        <v>1600</v>
      </c>
      <c r="B22" s="24" t="s">
        <v>50</v>
      </c>
      <c r="C22" s="1">
        <f t="shared" si="2"/>
        <v>3286720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40">
        <v>0</v>
      </c>
      <c r="L22" s="21">
        <v>0</v>
      </c>
      <c r="M22" s="21">
        <v>582.4</v>
      </c>
      <c r="N22" s="23">
        <v>3086720</v>
      </c>
      <c r="O22" s="21">
        <v>0</v>
      </c>
      <c r="P22" s="21">
        <v>0</v>
      </c>
      <c r="Q22" s="21">
        <v>0</v>
      </c>
      <c r="R22" s="21">
        <v>0</v>
      </c>
      <c r="S22" s="21">
        <v>0</v>
      </c>
      <c r="T22" s="21">
        <v>0</v>
      </c>
      <c r="U22" s="21">
        <v>200000</v>
      </c>
    </row>
    <row r="23" spans="1:22" ht="21.95" customHeight="1">
      <c r="A23" s="19" t="s">
        <v>1601</v>
      </c>
      <c r="B23" s="22" t="s">
        <v>1541</v>
      </c>
      <c r="C23" s="1">
        <f t="shared" si="2"/>
        <v>3734696</v>
      </c>
      <c r="D23" s="21">
        <v>0</v>
      </c>
      <c r="E23" s="21">
        <v>0</v>
      </c>
      <c r="F23" s="21">
        <v>0</v>
      </c>
      <c r="G23" s="21">
        <v>0</v>
      </c>
      <c r="H23" s="21">
        <v>0</v>
      </c>
      <c r="I23" s="21">
        <v>0</v>
      </c>
      <c r="J23" s="21">
        <v>0</v>
      </c>
      <c r="K23" s="40">
        <v>0</v>
      </c>
      <c r="L23" s="21">
        <v>0</v>
      </c>
      <c r="M23" s="21">
        <v>610.32000000000005</v>
      </c>
      <c r="N23" s="23">
        <v>3234696</v>
      </c>
      <c r="O23" s="21">
        <v>0</v>
      </c>
      <c r="P23" s="21">
        <v>0</v>
      </c>
      <c r="Q23" s="21">
        <v>0</v>
      </c>
      <c r="R23" s="21">
        <v>0</v>
      </c>
      <c r="S23" s="21">
        <v>0</v>
      </c>
      <c r="T23" s="21">
        <v>0</v>
      </c>
      <c r="U23" s="21">
        <v>500000</v>
      </c>
    </row>
    <row r="24" spans="1:22" ht="21.95" customHeight="1">
      <c r="A24" s="19" t="s">
        <v>1602</v>
      </c>
      <c r="B24" s="24" t="s">
        <v>52</v>
      </c>
      <c r="C24" s="1">
        <f t="shared" si="2"/>
        <v>1908740</v>
      </c>
      <c r="D24" s="21">
        <v>0</v>
      </c>
      <c r="E24" s="21">
        <v>0</v>
      </c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40">
        <v>0</v>
      </c>
      <c r="L24" s="21">
        <v>0</v>
      </c>
      <c r="M24" s="21">
        <v>517.79999999999995</v>
      </c>
      <c r="N24" s="23">
        <v>1708740</v>
      </c>
      <c r="O24" s="21">
        <v>0</v>
      </c>
      <c r="P24" s="21">
        <v>0</v>
      </c>
      <c r="Q24" s="21">
        <v>0</v>
      </c>
      <c r="R24" s="21">
        <v>0</v>
      </c>
      <c r="S24" s="21">
        <v>0</v>
      </c>
      <c r="T24" s="21">
        <v>0</v>
      </c>
      <c r="U24" s="21">
        <v>200000</v>
      </c>
    </row>
    <row r="25" spans="1:22" ht="21.95" customHeight="1">
      <c r="A25" s="19" t="s">
        <v>1603</v>
      </c>
      <c r="B25" s="24" t="s">
        <v>55</v>
      </c>
      <c r="C25" s="1">
        <f t="shared" si="2"/>
        <v>1960130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40">
        <v>0</v>
      </c>
      <c r="L25" s="21">
        <v>0</v>
      </c>
      <c r="M25" s="21">
        <v>332.1</v>
      </c>
      <c r="N25" s="23">
        <v>1760130</v>
      </c>
      <c r="O25" s="21">
        <v>0</v>
      </c>
      <c r="P25" s="21">
        <v>0</v>
      </c>
      <c r="Q25" s="21">
        <v>0</v>
      </c>
      <c r="R25" s="21">
        <v>0</v>
      </c>
      <c r="S25" s="21">
        <v>0</v>
      </c>
      <c r="T25" s="21">
        <v>0</v>
      </c>
      <c r="U25" s="21">
        <v>200000</v>
      </c>
    </row>
    <row r="26" spans="1:22" ht="21.95" customHeight="1">
      <c r="A26" s="19" t="s">
        <v>1604</v>
      </c>
      <c r="B26" s="24" t="s">
        <v>56</v>
      </c>
      <c r="C26" s="1">
        <f t="shared" si="2"/>
        <v>2667000</v>
      </c>
      <c r="D26" s="21">
        <v>0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40">
        <v>0</v>
      </c>
      <c r="L26" s="21">
        <v>0</v>
      </c>
      <c r="M26" s="21">
        <v>390</v>
      </c>
      <c r="N26" s="23">
        <f>M26*5300</f>
        <v>2067000</v>
      </c>
      <c r="O26" s="21">
        <v>0</v>
      </c>
      <c r="P26" s="21">
        <v>0</v>
      </c>
      <c r="Q26" s="21">
        <v>0</v>
      </c>
      <c r="R26" s="21">
        <v>0</v>
      </c>
      <c r="S26" s="21">
        <v>0</v>
      </c>
      <c r="T26" s="21">
        <v>0</v>
      </c>
      <c r="U26" s="21">
        <v>600000</v>
      </c>
    </row>
    <row r="27" spans="1:22" ht="21.95" customHeight="1">
      <c r="A27" s="19" t="s">
        <v>1605</v>
      </c>
      <c r="B27" s="22" t="s">
        <v>57</v>
      </c>
      <c r="C27" s="1">
        <f t="shared" si="2"/>
        <v>3486000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40">
        <v>0</v>
      </c>
      <c r="L27" s="21">
        <v>0</v>
      </c>
      <c r="M27" s="21">
        <v>620</v>
      </c>
      <c r="N27" s="23">
        <f>M27*5300</f>
        <v>3286000</v>
      </c>
      <c r="O27" s="21">
        <v>0</v>
      </c>
      <c r="P27" s="21">
        <v>0</v>
      </c>
      <c r="Q27" s="21">
        <v>0</v>
      </c>
      <c r="R27" s="21">
        <v>0</v>
      </c>
      <c r="S27" s="21">
        <v>0</v>
      </c>
      <c r="T27" s="21">
        <v>0</v>
      </c>
      <c r="U27" s="21">
        <v>200000</v>
      </c>
    </row>
    <row r="28" spans="1:22" ht="21.95" customHeight="1">
      <c r="A28" s="19" t="s">
        <v>1606</v>
      </c>
      <c r="B28" s="22" t="s">
        <v>58</v>
      </c>
      <c r="C28" s="1">
        <f t="shared" si="2"/>
        <v>3486000</v>
      </c>
      <c r="D28" s="21">
        <v>0</v>
      </c>
      <c r="E28" s="21">
        <v>0</v>
      </c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40">
        <v>0</v>
      </c>
      <c r="L28" s="21">
        <v>0</v>
      </c>
      <c r="M28" s="21">
        <v>620</v>
      </c>
      <c r="N28" s="23">
        <f>M28*5300</f>
        <v>3286000</v>
      </c>
      <c r="O28" s="21">
        <v>0</v>
      </c>
      <c r="P28" s="21">
        <v>0</v>
      </c>
      <c r="Q28" s="21">
        <v>0</v>
      </c>
      <c r="R28" s="21">
        <v>0</v>
      </c>
      <c r="S28" s="21">
        <v>0</v>
      </c>
      <c r="T28" s="21">
        <v>0</v>
      </c>
      <c r="U28" s="21">
        <v>200000</v>
      </c>
    </row>
    <row r="29" spans="1:22" ht="21.95" customHeight="1">
      <c r="A29" s="19" t="s">
        <v>1607</v>
      </c>
      <c r="B29" s="22" t="s">
        <v>59</v>
      </c>
      <c r="C29" s="1">
        <f t="shared" si="2"/>
        <v>3486000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  <c r="I29" s="21">
        <v>0</v>
      </c>
      <c r="J29" s="21">
        <v>0</v>
      </c>
      <c r="K29" s="40">
        <v>0</v>
      </c>
      <c r="L29" s="21">
        <v>0</v>
      </c>
      <c r="M29" s="21">
        <v>620</v>
      </c>
      <c r="N29" s="23">
        <f>M29*5300</f>
        <v>3286000</v>
      </c>
      <c r="O29" s="21">
        <v>0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200000</v>
      </c>
    </row>
    <row r="30" spans="1:22" ht="45" customHeight="1">
      <c r="A30" s="55" t="s">
        <v>1325</v>
      </c>
      <c r="B30" s="55"/>
      <c r="C30" s="1">
        <f t="shared" si="2"/>
        <v>2884450</v>
      </c>
      <c r="D30" s="1">
        <f t="shared" ref="D30:U30" si="5">SUM(D31)</f>
        <v>0</v>
      </c>
      <c r="E30" s="1">
        <f t="shared" si="5"/>
        <v>0</v>
      </c>
      <c r="F30" s="1">
        <f t="shared" si="5"/>
        <v>0</v>
      </c>
      <c r="G30" s="1">
        <f t="shared" si="5"/>
        <v>0</v>
      </c>
      <c r="H30" s="1">
        <f t="shared" si="5"/>
        <v>0</v>
      </c>
      <c r="I30" s="1">
        <f t="shared" si="5"/>
        <v>0</v>
      </c>
      <c r="J30" s="1">
        <f t="shared" si="5"/>
        <v>0</v>
      </c>
      <c r="K30" s="42">
        <f t="shared" si="5"/>
        <v>0</v>
      </c>
      <c r="L30" s="1">
        <f t="shared" si="5"/>
        <v>0</v>
      </c>
      <c r="M30" s="1">
        <f t="shared" si="5"/>
        <v>506.5</v>
      </c>
      <c r="N30" s="1">
        <f t="shared" si="5"/>
        <v>2684450</v>
      </c>
      <c r="O30" s="1">
        <f t="shared" si="5"/>
        <v>0</v>
      </c>
      <c r="P30" s="1">
        <f t="shared" si="5"/>
        <v>0</v>
      </c>
      <c r="Q30" s="1">
        <f t="shared" si="5"/>
        <v>0</v>
      </c>
      <c r="R30" s="1">
        <f t="shared" si="5"/>
        <v>0</v>
      </c>
      <c r="S30" s="1">
        <f t="shared" si="5"/>
        <v>0</v>
      </c>
      <c r="T30" s="1">
        <f t="shared" si="5"/>
        <v>0</v>
      </c>
      <c r="U30" s="1">
        <f t="shared" si="5"/>
        <v>200000</v>
      </c>
      <c r="V30" s="13">
        <f>C30</f>
        <v>2884450</v>
      </c>
    </row>
    <row r="31" spans="1:22" ht="21.95" customHeight="1">
      <c r="A31" s="19" t="s">
        <v>1608</v>
      </c>
      <c r="B31" s="24" t="s">
        <v>27</v>
      </c>
      <c r="C31" s="1">
        <f t="shared" si="2"/>
        <v>2884450</v>
      </c>
      <c r="D31" s="21">
        <f>SUM(E31:J31)</f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40">
        <v>0</v>
      </c>
      <c r="L31" s="21">
        <v>0</v>
      </c>
      <c r="M31" s="21">
        <v>506.5</v>
      </c>
      <c r="N31" s="23">
        <f>M31*5300</f>
        <v>2684450</v>
      </c>
      <c r="O31" s="21">
        <v>0</v>
      </c>
      <c r="P31" s="21">
        <v>0</v>
      </c>
      <c r="Q31" s="21">
        <v>0</v>
      </c>
      <c r="R31" s="21">
        <v>0</v>
      </c>
      <c r="S31" s="21">
        <v>0</v>
      </c>
      <c r="T31" s="21">
        <v>0</v>
      </c>
      <c r="U31" s="21">
        <v>200000</v>
      </c>
    </row>
    <row r="32" spans="1:22" ht="45" customHeight="1">
      <c r="A32" s="55" t="s">
        <v>1517</v>
      </c>
      <c r="B32" s="55"/>
      <c r="C32" s="1">
        <f t="shared" si="2"/>
        <v>4254050</v>
      </c>
      <c r="D32" s="1">
        <f t="shared" ref="D32:U32" si="6">SUM(D33)</f>
        <v>0</v>
      </c>
      <c r="E32" s="1">
        <f t="shared" si="6"/>
        <v>0</v>
      </c>
      <c r="F32" s="1">
        <f t="shared" si="6"/>
        <v>0</v>
      </c>
      <c r="G32" s="1">
        <f t="shared" si="6"/>
        <v>0</v>
      </c>
      <c r="H32" s="1">
        <f t="shared" si="6"/>
        <v>0</v>
      </c>
      <c r="I32" s="1">
        <f t="shared" si="6"/>
        <v>0</v>
      </c>
      <c r="J32" s="1">
        <f t="shared" si="6"/>
        <v>0</v>
      </c>
      <c r="K32" s="42">
        <f t="shared" si="6"/>
        <v>0</v>
      </c>
      <c r="L32" s="1">
        <f t="shared" si="6"/>
        <v>0</v>
      </c>
      <c r="M32" s="1">
        <f t="shared" si="6"/>
        <v>1228.5</v>
      </c>
      <c r="N32" s="1">
        <f t="shared" si="6"/>
        <v>4054050</v>
      </c>
      <c r="O32" s="1">
        <f t="shared" si="6"/>
        <v>0</v>
      </c>
      <c r="P32" s="1">
        <f t="shared" si="6"/>
        <v>0</v>
      </c>
      <c r="Q32" s="1">
        <f t="shared" si="6"/>
        <v>0</v>
      </c>
      <c r="R32" s="1">
        <f t="shared" si="6"/>
        <v>0</v>
      </c>
      <c r="S32" s="1">
        <f t="shared" si="6"/>
        <v>0</v>
      </c>
      <c r="T32" s="1">
        <f t="shared" si="6"/>
        <v>0</v>
      </c>
      <c r="U32" s="1">
        <f t="shared" si="6"/>
        <v>200000</v>
      </c>
      <c r="V32" s="13">
        <f>C32</f>
        <v>4254050</v>
      </c>
    </row>
    <row r="33" spans="1:22" ht="21.95" customHeight="1">
      <c r="A33" s="19" t="s">
        <v>1609</v>
      </c>
      <c r="B33" s="24" t="s">
        <v>1518</v>
      </c>
      <c r="C33" s="1">
        <f t="shared" si="2"/>
        <v>4254050</v>
      </c>
      <c r="D33" s="21">
        <f>SUM(E33:J33)</f>
        <v>0</v>
      </c>
      <c r="E33" s="21">
        <v>0</v>
      </c>
      <c r="F33" s="21">
        <v>0</v>
      </c>
      <c r="G33" s="21">
        <v>0</v>
      </c>
      <c r="H33" s="21">
        <v>0</v>
      </c>
      <c r="I33" s="21">
        <v>0</v>
      </c>
      <c r="J33" s="21">
        <v>0</v>
      </c>
      <c r="K33" s="40">
        <v>0</v>
      </c>
      <c r="L33" s="21">
        <v>0</v>
      </c>
      <c r="M33" s="21">
        <v>1228.5</v>
      </c>
      <c r="N33" s="23">
        <f>M33*3300</f>
        <v>4054050</v>
      </c>
      <c r="O33" s="21">
        <v>0</v>
      </c>
      <c r="P33" s="21">
        <v>0</v>
      </c>
      <c r="Q33" s="21">
        <v>0</v>
      </c>
      <c r="R33" s="21">
        <v>0</v>
      </c>
      <c r="S33" s="21">
        <v>0</v>
      </c>
      <c r="T33" s="21">
        <v>0</v>
      </c>
      <c r="U33" s="21">
        <v>200000</v>
      </c>
    </row>
    <row r="34" spans="1:22" ht="45" customHeight="1">
      <c r="A34" s="55" t="s">
        <v>78</v>
      </c>
      <c r="B34" s="55"/>
      <c r="C34" s="1">
        <f t="shared" si="2"/>
        <v>1651635</v>
      </c>
      <c r="D34" s="1">
        <f t="shared" ref="D34:U34" si="7">SUM(D35)</f>
        <v>100135.00000000001</v>
      </c>
      <c r="E34" s="1">
        <f t="shared" si="7"/>
        <v>100135.00000000001</v>
      </c>
      <c r="F34" s="1">
        <f t="shared" si="7"/>
        <v>0</v>
      </c>
      <c r="G34" s="1">
        <f t="shared" si="7"/>
        <v>0</v>
      </c>
      <c r="H34" s="1">
        <f t="shared" si="7"/>
        <v>0</v>
      </c>
      <c r="I34" s="1">
        <f t="shared" si="7"/>
        <v>0</v>
      </c>
      <c r="J34" s="1">
        <f t="shared" si="7"/>
        <v>0</v>
      </c>
      <c r="K34" s="42">
        <f t="shared" si="7"/>
        <v>0</v>
      </c>
      <c r="L34" s="1">
        <f t="shared" si="7"/>
        <v>0</v>
      </c>
      <c r="M34" s="1">
        <f t="shared" si="7"/>
        <v>255</v>
      </c>
      <c r="N34" s="1">
        <f t="shared" si="7"/>
        <v>1351500</v>
      </c>
      <c r="O34" s="1">
        <f t="shared" si="7"/>
        <v>0</v>
      </c>
      <c r="P34" s="1">
        <f t="shared" si="7"/>
        <v>0</v>
      </c>
      <c r="Q34" s="1">
        <f t="shared" si="7"/>
        <v>0</v>
      </c>
      <c r="R34" s="1">
        <f t="shared" si="7"/>
        <v>0</v>
      </c>
      <c r="S34" s="1">
        <f t="shared" si="7"/>
        <v>0</v>
      </c>
      <c r="T34" s="1">
        <f t="shared" si="7"/>
        <v>0</v>
      </c>
      <c r="U34" s="1">
        <f t="shared" si="7"/>
        <v>200000</v>
      </c>
      <c r="V34" s="13">
        <f>C34+C385+C802</f>
        <v>24023062.449999999</v>
      </c>
    </row>
    <row r="35" spans="1:22" ht="23.1" customHeight="1">
      <c r="A35" s="17" t="s">
        <v>1610</v>
      </c>
      <c r="B35" s="24" t="s">
        <v>77</v>
      </c>
      <c r="C35" s="1">
        <f t="shared" si="2"/>
        <v>1651635</v>
      </c>
      <c r="D35" s="21">
        <f>SUM(E35:J35)</f>
        <v>100135.00000000001</v>
      </c>
      <c r="E35" s="21">
        <f>350*286.1</f>
        <v>100135.00000000001</v>
      </c>
      <c r="F35" s="21">
        <f>800*0</f>
        <v>0</v>
      </c>
      <c r="G35" s="21">
        <f>300*0</f>
        <v>0</v>
      </c>
      <c r="H35" s="21">
        <f>500*0</f>
        <v>0</v>
      </c>
      <c r="I35" s="21">
        <f>400*0</f>
        <v>0</v>
      </c>
      <c r="J35" s="21">
        <f>350*0</f>
        <v>0</v>
      </c>
      <c r="K35" s="5">
        <v>0</v>
      </c>
      <c r="L35" s="3">
        <v>0</v>
      </c>
      <c r="M35" s="3">
        <v>255</v>
      </c>
      <c r="N35" s="23">
        <f>M35*5300</f>
        <v>1351500</v>
      </c>
      <c r="O35" s="3">
        <v>0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3">
        <v>200000</v>
      </c>
      <c r="V35" s="13"/>
    </row>
    <row r="36" spans="1:22" ht="45" customHeight="1">
      <c r="A36" s="55" t="s">
        <v>1587</v>
      </c>
      <c r="B36" s="55"/>
      <c r="C36" s="1">
        <f t="shared" si="2"/>
        <v>1832580.9</v>
      </c>
      <c r="D36" s="1">
        <f t="shared" ref="D36:U36" si="8">SUM(D37)</f>
        <v>0</v>
      </c>
      <c r="E36" s="1">
        <f t="shared" si="8"/>
        <v>0</v>
      </c>
      <c r="F36" s="1">
        <f t="shared" si="8"/>
        <v>0</v>
      </c>
      <c r="G36" s="1">
        <f t="shared" si="8"/>
        <v>0</v>
      </c>
      <c r="H36" s="1">
        <f t="shared" si="8"/>
        <v>0</v>
      </c>
      <c r="I36" s="1">
        <f t="shared" si="8"/>
        <v>0</v>
      </c>
      <c r="J36" s="1">
        <f t="shared" si="8"/>
        <v>0</v>
      </c>
      <c r="K36" s="42">
        <f t="shared" si="8"/>
        <v>0</v>
      </c>
      <c r="L36" s="1">
        <f t="shared" si="8"/>
        <v>0</v>
      </c>
      <c r="M36" s="1">
        <f t="shared" si="8"/>
        <v>0</v>
      </c>
      <c r="N36" s="1">
        <f t="shared" si="8"/>
        <v>0</v>
      </c>
      <c r="O36" s="1">
        <f t="shared" si="8"/>
        <v>323.25</v>
      </c>
      <c r="P36" s="1">
        <f t="shared" si="8"/>
        <v>387900</v>
      </c>
      <c r="Q36" s="1">
        <f t="shared" si="8"/>
        <v>554.58000000000004</v>
      </c>
      <c r="R36" s="1">
        <f t="shared" si="8"/>
        <v>1444680.9</v>
      </c>
      <c r="S36" s="1">
        <f t="shared" si="8"/>
        <v>0</v>
      </c>
      <c r="T36" s="1">
        <f t="shared" si="8"/>
        <v>0</v>
      </c>
      <c r="U36" s="1">
        <f t="shared" si="8"/>
        <v>0</v>
      </c>
      <c r="V36" s="13">
        <f>C36</f>
        <v>1832580.9</v>
      </c>
    </row>
    <row r="37" spans="1:22" ht="27" customHeight="1">
      <c r="A37" s="19" t="s">
        <v>861</v>
      </c>
      <c r="B37" s="24" t="s">
        <v>1588</v>
      </c>
      <c r="C37" s="1">
        <f t="shared" si="2"/>
        <v>1832580.9</v>
      </c>
      <c r="D37" s="21">
        <f>SUM(E37:J37)</f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40">
        <v>0</v>
      </c>
      <c r="L37" s="21">
        <v>0</v>
      </c>
      <c r="M37" s="21">
        <v>0</v>
      </c>
      <c r="N37" s="21">
        <v>0</v>
      </c>
      <c r="O37" s="21">
        <v>323.25</v>
      </c>
      <c r="P37" s="21">
        <v>387900</v>
      </c>
      <c r="Q37" s="21">
        <v>554.58000000000004</v>
      </c>
      <c r="R37" s="21">
        <v>1444680.9</v>
      </c>
      <c r="S37" s="21">
        <v>0</v>
      </c>
      <c r="T37" s="21">
        <v>0</v>
      </c>
      <c r="U37" s="21">
        <v>0</v>
      </c>
    </row>
    <row r="38" spans="1:22" ht="45" customHeight="1">
      <c r="A38" s="55" t="s">
        <v>2</v>
      </c>
      <c r="B38" s="55"/>
      <c r="C38" s="1">
        <f t="shared" si="2"/>
        <v>2494920</v>
      </c>
      <c r="D38" s="1">
        <f t="shared" ref="D38:U38" si="9">SUM(D39:D40)</f>
        <v>0</v>
      </c>
      <c r="E38" s="1">
        <f t="shared" si="9"/>
        <v>0</v>
      </c>
      <c r="F38" s="1">
        <f t="shared" si="9"/>
        <v>0</v>
      </c>
      <c r="G38" s="1">
        <f t="shared" si="9"/>
        <v>0</v>
      </c>
      <c r="H38" s="1">
        <f t="shared" si="9"/>
        <v>0</v>
      </c>
      <c r="I38" s="1">
        <f t="shared" si="9"/>
        <v>0</v>
      </c>
      <c r="J38" s="1">
        <f t="shared" si="9"/>
        <v>0</v>
      </c>
      <c r="K38" s="42">
        <f t="shared" si="9"/>
        <v>0</v>
      </c>
      <c r="L38" s="1">
        <f t="shared" si="9"/>
        <v>0</v>
      </c>
      <c r="M38" s="1">
        <f t="shared" si="9"/>
        <v>376.4</v>
      </c>
      <c r="N38" s="1">
        <f t="shared" si="9"/>
        <v>1994920</v>
      </c>
      <c r="O38" s="1">
        <f t="shared" si="9"/>
        <v>0</v>
      </c>
      <c r="P38" s="1">
        <f t="shared" si="9"/>
        <v>0</v>
      </c>
      <c r="Q38" s="1">
        <f t="shared" si="9"/>
        <v>0</v>
      </c>
      <c r="R38" s="1">
        <f t="shared" si="9"/>
        <v>0</v>
      </c>
      <c r="S38" s="1">
        <f t="shared" si="9"/>
        <v>0</v>
      </c>
      <c r="T38" s="1">
        <f t="shared" si="9"/>
        <v>0</v>
      </c>
      <c r="U38" s="1">
        <f t="shared" si="9"/>
        <v>500000</v>
      </c>
      <c r="V38" s="13">
        <f>C38+C390+C806</f>
        <v>15539075</v>
      </c>
    </row>
    <row r="39" spans="1:22" ht="20.100000000000001" customHeight="1">
      <c r="A39" s="19" t="s">
        <v>1943</v>
      </c>
      <c r="B39" s="24" t="s">
        <v>81</v>
      </c>
      <c r="C39" s="1">
        <f t="shared" si="2"/>
        <v>300000</v>
      </c>
      <c r="D39" s="21">
        <f t="shared" ref="D39:D40" si="10">SUM(E39:J39)</f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40">
        <v>0</v>
      </c>
      <c r="L39" s="21">
        <v>0</v>
      </c>
      <c r="M39" s="3">
        <v>0</v>
      </c>
      <c r="N39" s="3">
        <v>0</v>
      </c>
      <c r="O39" s="21">
        <v>0</v>
      </c>
      <c r="P39" s="21">
        <v>0</v>
      </c>
      <c r="Q39" s="21">
        <v>0</v>
      </c>
      <c r="R39" s="21">
        <v>0</v>
      </c>
      <c r="S39" s="3">
        <v>0</v>
      </c>
      <c r="T39" s="21">
        <v>0</v>
      </c>
      <c r="U39" s="21">
        <v>300000</v>
      </c>
    </row>
    <row r="40" spans="1:22" s="12" customFormat="1" ht="20.100000000000001" customHeight="1">
      <c r="A40" s="19" t="s">
        <v>1611</v>
      </c>
      <c r="B40" s="24" t="s">
        <v>82</v>
      </c>
      <c r="C40" s="1">
        <f t="shared" si="2"/>
        <v>2194920</v>
      </c>
      <c r="D40" s="21">
        <f t="shared" si="10"/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5">
        <v>0</v>
      </c>
      <c r="L40" s="3">
        <v>0</v>
      </c>
      <c r="M40" s="3">
        <v>376.4</v>
      </c>
      <c r="N40" s="3">
        <v>1994920</v>
      </c>
      <c r="O40" s="3">
        <v>0</v>
      </c>
      <c r="P40" s="3">
        <v>0</v>
      </c>
      <c r="Q40" s="3">
        <v>0</v>
      </c>
      <c r="R40" s="3">
        <v>0</v>
      </c>
      <c r="S40" s="3">
        <v>0</v>
      </c>
      <c r="T40" s="21">
        <v>0</v>
      </c>
      <c r="U40" s="3">
        <v>200000</v>
      </c>
    </row>
    <row r="41" spans="1:22" ht="45" customHeight="1">
      <c r="A41" s="55" t="s">
        <v>853</v>
      </c>
      <c r="B41" s="55"/>
      <c r="C41" s="1">
        <f t="shared" si="2"/>
        <v>5101800</v>
      </c>
      <c r="D41" s="1">
        <f t="shared" ref="D41:U41" si="11">SUM(D42:D43)</f>
        <v>0</v>
      </c>
      <c r="E41" s="1">
        <f t="shared" si="11"/>
        <v>0</v>
      </c>
      <c r="F41" s="1">
        <f t="shared" si="11"/>
        <v>0</v>
      </c>
      <c r="G41" s="1">
        <f t="shared" si="11"/>
        <v>0</v>
      </c>
      <c r="H41" s="1">
        <f t="shared" si="11"/>
        <v>0</v>
      </c>
      <c r="I41" s="1">
        <f t="shared" si="11"/>
        <v>0</v>
      </c>
      <c r="J41" s="1">
        <f t="shared" si="11"/>
        <v>0</v>
      </c>
      <c r="K41" s="42">
        <f t="shared" si="11"/>
        <v>0</v>
      </c>
      <c r="L41" s="1">
        <f t="shared" si="11"/>
        <v>0</v>
      </c>
      <c r="M41" s="1">
        <f t="shared" si="11"/>
        <v>906</v>
      </c>
      <c r="N41" s="1">
        <f t="shared" si="11"/>
        <v>4801800</v>
      </c>
      <c r="O41" s="1">
        <f t="shared" si="11"/>
        <v>0</v>
      </c>
      <c r="P41" s="1">
        <f t="shared" si="11"/>
        <v>0</v>
      </c>
      <c r="Q41" s="1">
        <f t="shared" si="11"/>
        <v>0</v>
      </c>
      <c r="R41" s="1">
        <f t="shared" si="11"/>
        <v>0</v>
      </c>
      <c r="S41" s="1">
        <f t="shared" si="11"/>
        <v>0</v>
      </c>
      <c r="T41" s="1">
        <f t="shared" si="11"/>
        <v>0</v>
      </c>
      <c r="U41" s="1">
        <f t="shared" si="11"/>
        <v>300000</v>
      </c>
      <c r="V41" s="13">
        <f>C41+C396+C812</f>
        <v>21845195.5</v>
      </c>
    </row>
    <row r="42" spans="1:22" ht="20.100000000000001" customHeight="1">
      <c r="A42" s="19" t="s">
        <v>1612</v>
      </c>
      <c r="B42" s="24" t="s">
        <v>91</v>
      </c>
      <c r="C42" s="1">
        <f t="shared" si="2"/>
        <v>688300</v>
      </c>
      <c r="D42" s="21">
        <f t="shared" ref="D42:D43" si="12">SUM(E42:J42)</f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40">
        <v>0</v>
      </c>
      <c r="L42" s="21">
        <v>0</v>
      </c>
      <c r="M42" s="21">
        <v>111</v>
      </c>
      <c r="N42" s="23">
        <f>M42*5300</f>
        <v>588300</v>
      </c>
      <c r="O42" s="21">
        <v>0</v>
      </c>
      <c r="P42" s="21">
        <v>0</v>
      </c>
      <c r="Q42" s="21">
        <v>0</v>
      </c>
      <c r="R42" s="21">
        <v>0</v>
      </c>
      <c r="S42" s="21">
        <v>0</v>
      </c>
      <c r="T42" s="21">
        <v>0</v>
      </c>
      <c r="U42" s="21">
        <v>100000</v>
      </c>
    </row>
    <row r="43" spans="1:22" ht="20.100000000000001" customHeight="1">
      <c r="A43" s="19" t="s">
        <v>1613</v>
      </c>
      <c r="B43" s="24" t="s">
        <v>92</v>
      </c>
      <c r="C43" s="1">
        <f t="shared" si="2"/>
        <v>4413500</v>
      </c>
      <c r="D43" s="21">
        <f t="shared" si="12"/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40">
        <v>0</v>
      </c>
      <c r="L43" s="21">
        <v>0</v>
      </c>
      <c r="M43" s="21">
        <v>795</v>
      </c>
      <c r="N43" s="23">
        <f>M43*5300</f>
        <v>4213500</v>
      </c>
      <c r="O43" s="21">
        <v>0</v>
      </c>
      <c r="P43" s="21">
        <v>0</v>
      </c>
      <c r="Q43" s="21">
        <v>0</v>
      </c>
      <c r="R43" s="21">
        <v>0</v>
      </c>
      <c r="S43" s="21">
        <v>0</v>
      </c>
      <c r="T43" s="21">
        <v>0</v>
      </c>
      <c r="U43" s="21">
        <v>200000</v>
      </c>
    </row>
    <row r="44" spans="1:22" ht="45" customHeight="1">
      <c r="A44" s="55" t="s">
        <v>97</v>
      </c>
      <c r="B44" s="55"/>
      <c r="C44" s="1">
        <f t="shared" si="2"/>
        <v>11348572.120000001</v>
      </c>
      <c r="D44" s="1">
        <f t="shared" ref="D44:U44" si="13">SUM(D45:D48)</f>
        <v>1548572.12</v>
      </c>
      <c r="E44" s="1">
        <f t="shared" si="13"/>
        <v>151690</v>
      </c>
      <c r="F44" s="1">
        <f t="shared" si="13"/>
        <v>1093502.1200000001</v>
      </c>
      <c r="G44" s="1">
        <f t="shared" si="13"/>
        <v>130020</v>
      </c>
      <c r="H44" s="1">
        <f t="shared" si="13"/>
        <v>0</v>
      </c>
      <c r="I44" s="1">
        <f t="shared" si="13"/>
        <v>173360</v>
      </c>
      <c r="J44" s="1">
        <f t="shared" si="13"/>
        <v>0</v>
      </c>
      <c r="K44" s="42">
        <f t="shared" si="13"/>
        <v>4</v>
      </c>
      <c r="L44" s="1">
        <f t="shared" si="13"/>
        <v>9200000</v>
      </c>
      <c r="M44" s="1">
        <f t="shared" si="13"/>
        <v>0</v>
      </c>
      <c r="N44" s="1">
        <f t="shared" si="13"/>
        <v>0</v>
      </c>
      <c r="O44" s="1">
        <f t="shared" si="13"/>
        <v>0</v>
      </c>
      <c r="P44" s="1">
        <f t="shared" si="13"/>
        <v>0</v>
      </c>
      <c r="Q44" s="1">
        <f t="shared" si="13"/>
        <v>0</v>
      </c>
      <c r="R44" s="1">
        <f t="shared" si="13"/>
        <v>0</v>
      </c>
      <c r="S44" s="1">
        <f t="shared" si="13"/>
        <v>0</v>
      </c>
      <c r="T44" s="1">
        <f t="shared" si="13"/>
        <v>0</v>
      </c>
      <c r="U44" s="1">
        <f t="shared" si="13"/>
        <v>600000</v>
      </c>
      <c r="V44" s="13">
        <f>C44+C401+C818</f>
        <v>30491932.120000001</v>
      </c>
    </row>
    <row r="45" spans="1:22" s="12" customFormat="1" ht="21.95" customHeight="1">
      <c r="A45" s="17" t="s">
        <v>1614</v>
      </c>
      <c r="B45" s="24" t="s">
        <v>99</v>
      </c>
      <c r="C45" s="1">
        <f t="shared" si="2"/>
        <v>655070</v>
      </c>
      <c r="D45" s="21">
        <f t="shared" ref="D45:D48" si="14">SUM(E45:J45)</f>
        <v>455070</v>
      </c>
      <c r="E45" s="3">
        <f>350*433.4</f>
        <v>151690</v>
      </c>
      <c r="F45" s="3">
        <f>800*0</f>
        <v>0</v>
      </c>
      <c r="G45" s="3">
        <f>300*433.4</f>
        <v>130020</v>
      </c>
      <c r="H45" s="3">
        <f>500*0</f>
        <v>0</v>
      </c>
      <c r="I45" s="3">
        <f>400*433.4</f>
        <v>173360</v>
      </c>
      <c r="J45" s="3">
        <f>350*0</f>
        <v>0</v>
      </c>
      <c r="K45" s="5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3">
        <v>200000</v>
      </c>
    </row>
    <row r="46" spans="1:22" ht="21.95" customHeight="1">
      <c r="A46" s="17" t="s">
        <v>1615</v>
      </c>
      <c r="B46" s="24" t="s">
        <v>100</v>
      </c>
      <c r="C46" s="1">
        <f t="shared" si="2"/>
        <v>4800000</v>
      </c>
      <c r="D46" s="21">
        <f t="shared" si="14"/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40">
        <v>2</v>
      </c>
      <c r="L46" s="21">
        <v>4600000</v>
      </c>
      <c r="M46" s="3">
        <v>0</v>
      </c>
      <c r="N46" s="3">
        <v>0</v>
      </c>
      <c r="O46" s="21">
        <v>0</v>
      </c>
      <c r="P46" s="21">
        <v>0</v>
      </c>
      <c r="Q46" s="21">
        <v>0</v>
      </c>
      <c r="R46" s="21">
        <v>0</v>
      </c>
      <c r="S46" s="21">
        <v>0</v>
      </c>
      <c r="T46" s="21">
        <v>0</v>
      </c>
      <c r="U46" s="21">
        <v>200000</v>
      </c>
    </row>
    <row r="47" spans="1:22" ht="21.95" customHeight="1">
      <c r="A47" s="17" t="s">
        <v>1616</v>
      </c>
      <c r="B47" s="24" t="s">
        <v>103</v>
      </c>
      <c r="C47" s="1">
        <f t="shared" si="2"/>
        <v>4800000</v>
      </c>
      <c r="D47" s="21">
        <f t="shared" si="14"/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40">
        <v>2</v>
      </c>
      <c r="L47" s="21">
        <v>4600000</v>
      </c>
      <c r="M47" s="3">
        <v>0</v>
      </c>
      <c r="N47" s="3">
        <v>0</v>
      </c>
      <c r="O47" s="21">
        <v>0</v>
      </c>
      <c r="P47" s="21">
        <v>0</v>
      </c>
      <c r="Q47" s="21">
        <v>0</v>
      </c>
      <c r="R47" s="21">
        <v>0</v>
      </c>
      <c r="S47" s="21">
        <v>0</v>
      </c>
      <c r="T47" s="21">
        <v>0</v>
      </c>
      <c r="U47" s="21">
        <v>200000</v>
      </c>
    </row>
    <row r="48" spans="1:22" ht="21.95" customHeight="1">
      <c r="A48" s="17" t="s">
        <v>1617</v>
      </c>
      <c r="B48" s="24" t="s">
        <v>1940</v>
      </c>
      <c r="C48" s="1">
        <f t="shared" si="2"/>
        <v>1093502.1200000001</v>
      </c>
      <c r="D48" s="21">
        <f t="shared" si="14"/>
        <v>1093502.1200000001</v>
      </c>
      <c r="E48" s="21">
        <v>0</v>
      </c>
      <c r="F48" s="21">
        <v>1093502.1200000001</v>
      </c>
      <c r="G48" s="21">
        <v>0</v>
      </c>
      <c r="H48" s="21">
        <v>0</v>
      </c>
      <c r="I48" s="21">
        <v>0</v>
      </c>
      <c r="J48" s="21">
        <v>0</v>
      </c>
      <c r="K48" s="40">
        <v>0</v>
      </c>
      <c r="L48" s="21">
        <v>0</v>
      </c>
      <c r="M48" s="3">
        <v>0</v>
      </c>
      <c r="N48" s="3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</row>
    <row r="49" spans="1:22" ht="45" customHeight="1">
      <c r="A49" s="55" t="s">
        <v>106</v>
      </c>
      <c r="B49" s="55"/>
      <c r="C49" s="1">
        <f t="shared" si="2"/>
        <v>15469870</v>
      </c>
      <c r="D49" s="1">
        <f t="shared" ref="D49:U49" si="15">SUM(D50:D53)</f>
        <v>0</v>
      </c>
      <c r="E49" s="1">
        <f t="shared" si="15"/>
        <v>0</v>
      </c>
      <c r="F49" s="1">
        <f t="shared" si="15"/>
        <v>0</v>
      </c>
      <c r="G49" s="1">
        <f t="shared" si="15"/>
        <v>0</v>
      </c>
      <c r="H49" s="1">
        <f t="shared" si="15"/>
        <v>0</v>
      </c>
      <c r="I49" s="1">
        <f t="shared" si="15"/>
        <v>0</v>
      </c>
      <c r="J49" s="1">
        <f t="shared" si="15"/>
        <v>0</v>
      </c>
      <c r="K49" s="42">
        <f t="shared" si="15"/>
        <v>0</v>
      </c>
      <c r="L49" s="1">
        <f t="shared" si="15"/>
        <v>0</v>
      </c>
      <c r="M49" s="1">
        <f t="shared" si="15"/>
        <v>2767.9</v>
      </c>
      <c r="N49" s="1">
        <f t="shared" si="15"/>
        <v>14669870</v>
      </c>
      <c r="O49" s="1">
        <f t="shared" si="15"/>
        <v>0</v>
      </c>
      <c r="P49" s="1">
        <f t="shared" si="15"/>
        <v>0</v>
      </c>
      <c r="Q49" s="1">
        <f t="shared" si="15"/>
        <v>0</v>
      </c>
      <c r="R49" s="1">
        <f t="shared" si="15"/>
        <v>0</v>
      </c>
      <c r="S49" s="1">
        <f t="shared" si="15"/>
        <v>0</v>
      </c>
      <c r="T49" s="1">
        <f t="shared" si="15"/>
        <v>0</v>
      </c>
      <c r="U49" s="1">
        <f t="shared" si="15"/>
        <v>800000</v>
      </c>
      <c r="V49" s="13">
        <f>C49+C405+C821</f>
        <v>48532454.600000001</v>
      </c>
    </row>
    <row r="50" spans="1:22" ht="21" customHeight="1">
      <c r="A50" s="19" t="s">
        <v>1618</v>
      </c>
      <c r="B50" s="24" t="s">
        <v>112</v>
      </c>
      <c r="C50" s="1">
        <f t="shared" si="2"/>
        <v>3295200</v>
      </c>
      <c r="D50" s="21">
        <f t="shared" ref="D50:D53" si="16">SUM(E50:J50)</f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40">
        <v>0</v>
      </c>
      <c r="L50" s="21">
        <v>0</v>
      </c>
      <c r="M50" s="3">
        <v>584</v>
      </c>
      <c r="N50" s="3">
        <v>3095200</v>
      </c>
      <c r="O50" s="21">
        <v>0</v>
      </c>
      <c r="P50" s="21">
        <v>0</v>
      </c>
      <c r="Q50" s="21">
        <v>0</v>
      </c>
      <c r="R50" s="21">
        <v>0</v>
      </c>
      <c r="S50" s="21">
        <v>0</v>
      </c>
      <c r="T50" s="21">
        <v>0</v>
      </c>
      <c r="U50" s="21">
        <v>200000</v>
      </c>
    </row>
    <row r="51" spans="1:22" ht="21.95" customHeight="1">
      <c r="A51" s="19" t="s">
        <v>1619</v>
      </c>
      <c r="B51" s="24" t="s">
        <v>114</v>
      </c>
      <c r="C51" s="1">
        <f t="shared" si="2"/>
        <v>4206800</v>
      </c>
      <c r="D51" s="21">
        <f t="shared" si="16"/>
        <v>0</v>
      </c>
      <c r="E51" s="21">
        <v>0</v>
      </c>
      <c r="F51" s="21">
        <v>0</v>
      </c>
      <c r="G51" s="21">
        <v>0</v>
      </c>
      <c r="H51" s="21">
        <v>0</v>
      </c>
      <c r="I51" s="21">
        <v>0</v>
      </c>
      <c r="J51" s="21">
        <v>0</v>
      </c>
      <c r="K51" s="40">
        <v>0</v>
      </c>
      <c r="L51" s="21">
        <v>0</v>
      </c>
      <c r="M51" s="3">
        <v>756</v>
      </c>
      <c r="N51" s="23">
        <f>M51*5300</f>
        <v>4006800</v>
      </c>
      <c r="O51" s="21">
        <v>0</v>
      </c>
      <c r="P51" s="21">
        <v>0</v>
      </c>
      <c r="Q51" s="21">
        <v>0</v>
      </c>
      <c r="R51" s="21">
        <v>0</v>
      </c>
      <c r="S51" s="21">
        <v>0</v>
      </c>
      <c r="T51" s="21">
        <v>0</v>
      </c>
      <c r="U51" s="21">
        <v>200000</v>
      </c>
    </row>
    <row r="52" spans="1:22" ht="21.95" customHeight="1">
      <c r="A52" s="19" t="s">
        <v>1620</v>
      </c>
      <c r="B52" s="24" t="s">
        <v>115</v>
      </c>
      <c r="C52" s="1">
        <f t="shared" si="2"/>
        <v>4206800</v>
      </c>
      <c r="D52" s="21">
        <f t="shared" si="16"/>
        <v>0</v>
      </c>
      <c r="E52" s="21">
        <v>0</v>
      </c>
      <c r="F52" s="21">
        <v>0</v>
      </c>
      <c r="G52" s="21">
        <v>0</v>
      </c>
      <c r="H52" s="21">
        <v>0</v>
      </c>
      <c r="I52" s="21">
        <v>0</v>
      </c>
      <c r="J52" s="21">
        <v>0</v>
      </c>
      <c r="K52" s="40">
        <v>0</v>
      </c>
      <c r="L52" s="21">
        <v>0</v>
      </c>
      <c r="M52" s="3">
        <v>756</v>
      </c>
      <c r="N52" s="23">
        <f>M52*5300</f>
        <v>4006800</v>
      </c>
      <c r="O52" s="21">
        <v>0</v>
      </c>
      <c r="P52" s="21">
        <v>0</v>
      </c>
      <c r="Q52" s="21">
        <v>0</v>
      </c>
      <c r="R52" s="21">
        <v>0</v>
      </c>
      <c r="S52" s="21">
        <v>0</v>
      </c>
      <c r="T52" s="21">
        <v>0</v>
      </c>
      <c r="U52" s="21">
        <v>200000</v>
      </c>
    </row>
    <row r="53" spans="1:22" ht="21.95" customHeight="1">
      <c r="A53" s="19" t="s">
        <v>1944</v>
      </c>
      <c r="B53" s="24" t="s">
        <v>116</v>
      </c>
      <c r="C53" s="1">
        <f t="shared" si="2"/>
        <v>3761070</v>
      </c>
      <c r="D53" s="21">
        <f t="shared" si="16"/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40">
        <v>0</v>
      </c>
      <c r="L53" s="21">
        <v>0</v>
      </c>
      <c r="M53" s="21">
        <v>671.9</v>
      </c>
      <c r="N53" s="23">
        <f>M53*5300</f>
        <v>3561070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200000</v>
      </c>
    </row>
    <row r="54" spans="1:22" ht="45" customHeight="1">
      <c r="A54" s="55" t="s">
        <v>1585</v>
      </c>
      <c r="B54" s="55"/>
      <c r="C54" s="1">
        <f t="shared" si="2"/>
        <v>3016441.63</v>
      </c>
      <c r="D54" s="1">
        <f t="shared" ref="D54:U54" si="17">SUM(D55)</f>
        <v>0</v>
      </c>
      <c r="E54" s="1">
        <f t="shared" si="17"/>
        <v>0</v>
      </c>
      <c r="F54" s="1">
        <f t="shared" si="17"/>
        <v>0</v>
      </c>
      <c r="G54" s="1">
        <f t="shared" si="17"/>
        <v>0</v>
      </c>
      <c r="H54" s="1">
        <f t="shared" si="17"/>
        <v>0</v>
      </c>
      <c r="I54" s="1">
        <f t="shared" si="17"/>
        <v>0</v>
      </c>
      <c r="J54" s="1">
        <f t="shared" si="17"/>
        <v>0</v>
      </c>
      <c r="K54" s="42">
        <f t="shared" si="17"/>
        <v>0</v>
      </c>
      <c r="L54" s="1">
        <f t="shared" si="17"/>
        <v>0</v>
      </c>
      <c r="M54" s="1">
        <f t="shared" si="17"/>
        <v>620</v>
      </c>
      <c r="N54" s="1">
        <f t="shared" si="17"/>
        <v>3016441.63</v>
      </c>
      <c r="O54" s="1">
        <f t="shared" si="17"/>
        <v>0</v>
      </c>
      <c r="P54" s="1">
        <f t="shared" si="17"/>
        <v>0</v>
      </c>
      <c r="Q54" s="1">
        <f t="shared" si="17"/>
        <v>0</v>
      </c>
      <c r="R54" s="1">
        <f t="shared" si="17"/>
        <v>0</v>
      </c>
      <c r="S54" s="1">
        <f t="shared" si="17"/>
        <v>0</v>
      </c>
      <c r="T54" s="1">
        <f t="shared" si="17"/>
        <v>0</v>
      </c>
      <c r="U54" s="1">
        <f t="shared" si="17"/>
        <v>0</v>
      </c>
      <c r="V54" s="13">
        <f>C54</f>
        <v>3016441.63</v>
      </c>
    </row>
    <row r="55" spans="1:22" ht="21.95" customHeight="1">
      <c r="A55" s="17" t="s">
        <v>1621</v>
      </c>
      <c r="B55" s="24" t="s">
        <v>1586</v>
      </c>
      <c r="C55" s="1">
        <f t="shared" si="2"/>
        <v>3016441.63</v>
      </c>
      <c r="D55" s="21">
        <f>SUM(E55:J55)</f>
        <v>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5">
        <v>0</v>
      </c>
      <c r="L55" s="3">
        <v>0</v>
      </c>
      <c r="M55" s="3">
        <v>620</v>
      </c>
      <c r="N55" s="3">
        <v>3016441.63</v>
      </c>
      <c r="O55" s="3">
        <v>0</v>
      </c>
      <c r="P55" s="3">
        <v>0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</row>
    <row r="56" spans="1:22" ht="45" customHeight="1">
      <c r="A56" s="55" t="s">
        <v>128</v>
      </c>
      <c r="B56" s="55"/>
      <c r="C56" s="1">
        <f t="shared" si="2"/>
        <v>6675625</v>
      </c>
      <c r="D56" s="1">
        <f t="shared" ref="D56:U56" si="18">SUM(D57:D58)</f>
        <v>0</v>
      </c>
      <c r="E56" s="1">
        <f t="shared" si="18"/>
        <v>0</v>
      </c>
      <c r="F56" s="1">
        <f t="shared" si="18"/>
        <v>0</v>
      </c>
      <c r="G56" s="1">
        <f t="shared" si="18"/>
        <v>0</v>
      </c>
      <c r="H56" s="1">
        <f t="shared" si="18"/>
        <v>0</v>
      </c>
      <c r="I56" s="1">
        <f t="shared" si="18"/>
        <v>0</v>
      </c>
      <c r="J56" s="1">
        <f t="shared" si="18"/>
        <v>0</v>
      </c>
      <c r="K56" s="42">
        <f t="shared" si="18"/>
        <v>0</v>
      </c>
      <c r="L56" s="1">
        <f t="shared" si="18"/>
        <v>0</v>
      </c>
      <c r="M56" s="1">
        <f t="shared" si="18"/>
        <v>1021.25</v>
      </c>
      <c r="N56" s="1">
        <f t="shared" si="18"/>
        <v>4312625</v>
      </c>
      <c r="O56" s="1">
        <f t="shared" si="18"/>
        <v>0</v>
      </c>
      <c r="P56" s="1">
        <f t="shared" si="18"/>
        <v>0</v>
      </c>
      <c r="Q56" s="1">
        <f t="shared" si="18"/>
        <v>600</v>
      </c>
      <c r="R56" s="1">
        <f t="shared" si="18"/>
        <v>1563000</v>
      </c>
      <c r="S56" s="1">
        <f t="shared" si="18"/>
        <v>0</v>
      </c>
      <c r="T56" s="1">
        <f t="shared" si="18"/>
        <v>0</v>
      </c>
      <c r="U56" s="1">
        <f t="shared" si="18"/>
        <v>800000</v>
      </c>
      <c r="V56" s="13">
        <f>C56+C417+C834</f>
        <v>14288775</v>
      </c>
    </row>
    <row r="57" spans="1:22" ht="21.95" customHeight="1">
      <c r="A57" s="17" t="s">
        <v>862</v>
      </c>
      <c r="B57" s="24" t="s">
        <v>1348</v>
      </c>
      <c r="C57" s="1">
        <f t="shared" si="2"/>
        <v>3578000</v>
      </c>
      <c r="D57" s="21">
        <f t="shared" ref="D57:D58" si="19">SUM(E57:J57)</f>
        <v>0</v>
      </c>
      <c r="E57" s="21">
        <v>0</v>
      </c>
      <c r="F57" s="21">
        <v>0</v>
      </c>
      <c r="G57" s="21">
        <v>0</v>
      </c>
      <c r="H57" s="21">
        <v>0</v>
      </c>
      <c r="I57" s="21">
        <v>0</v>
      </c>
      <c r="J57" s="21">
        <v>0</v>
      </c>
      <c r="K57" s="5">
        <v>0</v>
      </c>
      <c r="L57" s="3">
        <v>0</v>
      </c>
      <c r="M57" s="3">
        <v>550</v>
      </c>
      <c r="N57" s="3">
        <f>M57*3300</f>
        <v>1815000</v>
      </c>
      <c r="O57" s="3">
        <v>0</v>
      </c>
      <c r="P57" s="3">
        <v>0</v>
      </c>
      <c r="Q57" s="3">
        <v>600</v>
      </c>
      <c r="R57" s="3">
        <f>Q57*2605</f>
        <v>1563000</v>
      </c>
      <c r="S57" s="3">
        <v>0</v>
      </c>
      <c r="T57" s="3">
        <v>0</v>
      </c>
      <c r="U57" s="3">
        <v>200000</v>
      </c>
    </row>
    <row r="58" spans="1:22" ht="21.95" customHeight="1">
      <c r="A58" s="17" t="s">
        <v>1622</v>
      </c>
      <c r="B58" s="26" t="s">
        <v>126</v>
      </c>
      <c r="C58" s="1">
        <f t="shared" si="2"/>
        <v>3097625</v>
      </c>
      <c r="D58" s="21">
        <f t="shared" si="19"/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5">
        <v>0</v>
      </c>
      <c r="L58" s="3">
        <v>0</v>
      </c>
      <c r="M58" s="3">
        <v>471.25</v>
      </c>
      <c r="N58" s="3">
        <v>2497625</v>
      </c>
      <c r="O58" s="3">
        <v>0</v>
      </c>
      <c r="P58" s="3">
        <v>0</v>
      </c>
      <c r="Q58" s="3">
        <v>0</v>
      </c>
      <c r="R58" s="3">
        <v>0</v>
      </c>
      <c r="S58" s="3">
        <v>0</v>
      </c>
      <c r="T58" s="3">
        <v>0</v>
      </c>
      <c r="U58" s="3">
        <v>600000</v>
      </c>
      <c r="V58" s="13"/>
    </row>
    <row r="59" spans="1:22" ht="45" customHeight="1">
      <c r="A59" s="55" t="s">
        <v>136</v>
      </c>
      <c r="B59" s="55"/>
      <c r="C59" s="1">
        <f t="shared" si="2"/>
        <v>300000</v>
      </c>
      <c r="D59" s="1">
        <f t="shared" ref="D59:U59" si="20">SUM(D60)</f>
        <v>0</v>
      </c>
      <c r="E59" s="1">
        <f t="shared" si="20"/>
        <v>0</v>
      </c>
      <c r="F59" s="1">
        <f t="shared" si="20"/>
        <v>0</v>
      </c>
      <c r="G59" s="1">
        <f t="shared" si="20"/>
        <v>0</v>
      </c>
      <c r="H59" s="1">
        <f t="shared" si="20"/>
        <v>0</v>
      </c>
      <c r="I59" s="1">
        <f t="shared" si="20"/>
        <v>0</v>
      </c>
      <c r="J59" s="1">
        <f t="shared" si="20"/>
        <v>0</v>
      </c>
      <c r="K59" s="42">
        <f t="shared" si="20"/>
        <v>0</v>
      </c>
      <c r="L59" s="1">
        <f t="shared" si="20"/>
        <v>0</v>
      </c>
      <c r="M59" s="1">
        <f t="shared" si="20"/>
        <v>0</v>
      </c>
      <c r="N59" s="1">
        <f t="shared" si="20"/>
        <v>0</v>
      </c>
      <c r="O59" s="1">
        <f t="shared" si="20"/>
        <v>0</v>
      </c>
      <c r="P59" s="1">
        <f t="shared" si="20"/>
        <v>0</v>
      </c>
      <c r="Q59" s="1">
        <f t="shared" si="20"/>
        <v>0</v>
      </c>
      <c r="R59" s="1">
        <f t="shared" si="20"/>
        <v>0</v>
      </c>
      <c r="S59" s="1">
        <f t="shared" si="20"/>
        <v>0</v>
      </c>
      <c r="T59" s="1">
        <f t="shared" si="20"/>
        <v>0</v>
      </c>
      <c r="U59" s="1">
        <f t="shared" si="20"/>
        <v>300000</v>
      </c>
      <c r="V59" s="13">
        <f>C59+C422</f>
        <v>11237678</v>
      </c>
    </row>
    <row r="60" spans="1:22" ht="21.95" customHeight="1">
      <c r="A60" s="19" t="s">
        <v>1623</v>
      </c>
      <c r="B60" s="24" t="s">
        <v>132</v>
      </c>
      <c r="C60" s="1">
        <f t="shared" si="2"/>
        <v>300000</v>
      </c>
      <c r="D60" s="21">
        <f>SUM(E60:J60)</f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40">
        <v>0</v>
      </c>
      <c r="L60" s="21">
        <v>0</v>
      </c>
      <c r="M60" s="21">
        <v>0</v>
      </c>
      <c r="N60" s="21">
        <v>0</v>
      </c>
      <c r="O60" s="21">
        <v>0</v>
      </c>
      <c r="P60" s="21">
        <v>0</v>
      </c>
      <c r="Q60" s="21">
        <v>0</v>
      </c>
      <c r="R60" s="3">
        <v>0</v>
      </c>
      <c r="S60" s="21">
        <v>0</v>
      </c>
      <c r="T60" s="21">
        <v>0</v>
      </c>
      <c r="U60" s="21">
        <v>300000</v>
      </c>
    </row>
    <row r="61" spans="1:22" ht="45" customHeight="1">
      <c r="A61" s="55" t="s">
        <v>139</v>
      </c>
      <c r="B61" s="55"/>
      <c r="C61" s="1">
        <f t="shared" si="2"/>
        <v>19476281</v>
      </c>
      <c r="D61" s="1">
        <f t="shared" ref="D61:U61" si="21">SUM(D62:D64)</f>
        <v>0</v>
      </c>
      <c r="E61" s="1">
        <f t="shared" si="21"/>
        <v>0</v>
      </c>
      <c r="F61" s="1">
        <f t="shared" si="21"/>
        <v>0</v>
      </c>
      <c r="G61" s="1">
        <f t="shared" si="21"/>
        <v>0</v>
      </c>
      <c r="H61" s="1">
        <f t="shared" si="21"/>
        <v>0</v>
      </c>
      <c r="I61" s="1">
        <f t="shared" si="21"/>
        <v>0</v>
      </c>
      <c r="J61" s="1">
        <f t="shared" si="21"/>
        <v>0</v>
      </c>
      <c r="K61" s="42">
        <f t="shared" si="21"/>
        <v>0</v>
      </c>
      <c r="L61" s="1">
        <f t="shared" si="21"/>
        <v>0</v>
      </c>
      <c r="M61" s="1">
        <f t="shared" si="21"/>
        <v>3332.8</v>
      </c>
      <c r="N61" s="1">
        <f t="shared" si="21"/>
        <v>10998240</v>
      </c>
      <c r="O61" s="1">
        <f t="shared" si="21"/>
        <v>0</v>
      </c>
      <c r="P61" s="1">
        <f t="shared" si="21"/>
        <v>0</v>
      </c>
      <c r="Q61" s="1">
        <f t="shared" si="21"/>
        <v>3024.2</v>
      </c>
      <c r="R61" s="1">
        <f t="shared" si="21"/>
        <v>7878040.9999999991</v>
      </c>
      <c r="S61" s="1">
        <f t="shared" si="21"/>
        <v>0</v>
      </c>
      <c r="T61" s="1">
        <f t="shared" si="21"/>
        <v>0</v>
      </c>
      <c r="U61" s="1">
        <f t="shared" si="21"/>
        <v>600000</v>
      </c>
      <c r="V61" s="13">
        <f>C61+C428</f>
        <v>22551281</v>
      </c>
    </row>
    <row r="62" spans="1:22" ht="21.95" customHeight="1">
      <c r="A62" s="19" t="s">
        <v>1624</v>
      </c>
      <c r="B62" s="24" t="s">
        <v>140</v>
      </c>
      <c r="C62" s="1">
        <f t="shared" si="2"/>
        <v>3839240</v>
      </c>
      <c r="D62" s="21">
        <f t="shared" ref="D62:D64" si="22">SUM(E62:J62)</f>
        <v>0</v>
      </c>
      <c r="E62" s="21">
        <v>0</v>
      </c>
      <c r="F62" s="21">
        <v>0</v>
      </c>
      <c r="G62" s="21">
        <v>0</v>
      </c>
      <c r="H62" s="21">
        <v>0</v>
      </c>
      <c r="I62" s="21">
        <v>0</v>
      </c>
      <c r="J62" s="21">
        <v>0</v>
      </c>
      <c r="K62" s="40">
        <v>0</v>
      </c>
      <c r="L62" s="21">
        <v>0</v>
      </c>
      <c r="M62" s="21">
        <v>1102.8</v>
      </c>
      <c r="N62" s="21">
        <v>3639240</v>
      </c>
      <c r="O62" s="21">
        <v>0</v>
      </c>
      <c r="P62" s="21">
        <v>0</v>
      </c>
      <c r="Q62" s="21">
        <v>0</v>
      </c>
      <c r="R62" s="3">
        <v>0</v>
      </c>
      <c r="S62" s="21">
        <v>0</v>
      </c>
      <c r="T62" s="21">
        <v>0</v>
      </c>
      <c r="U62" s="21">
        <v>200000</v>
      </c>
    </row>
    <row r="63" spans="1:22" ht="21.95" customHeight="1">
      <c r="A63" s="19" t="s">
        <v>1625</v>
      </c>
      <c r="B63" s="24" t="s">
        <v>141</v>
      </c>
      <c r="C63" s="1">
        <f t="shared" si="2"/>
        <v>4193000</v>
      </c>
      <c r="D63" s="21">
        <f t="shared" si="22"/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40">
        <v>0</v>
      </c>
      <c r="L63" s="21">
        <v>0</v>
      </c>
      <c r="M63" s="21">
        <v>1210</v>
      </c>
      <c r="N63" s="21">
        <f>M63*3300</f>
        <v>3993000</v>
      </c>
      <c r="O63" s="21">
        <v>0</v>
      </c>
      <c r="P63" s="21">
        <v>0</v>
      </c>
      <c r="Q63" s="21">
        <v>0</v>
      </c>
      <c r="R63" s="3">
        <v>0</v>
      </c>
      <c r="S63" s="21">
        <v>0</v>
      </c>
      <c r="T63" s="21">
        <v>0</v>
      </c>
      <c r="U63" s="21">
        <v>200000</v>
      </c>
    </row>
    <row r="64" spans="1:22" ht="21.95" customHeight="1">
      <c r="A64" s="19" t="s">
        <v>1626</v>
      </c>
      <c r="B64" s="24" t="s">
        <v>142</v>
      </c>
      <c r="C64" s="1">
        <f t="shared" si="2"/>
        <v>11444041</v>
      </c>
      <c r="D64" s="21">
        <f t="shared" si="22"/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40">
        <v>0</v>
      </c>
      <c r="L64" s="21">
        <v>0</v>
      </c>
      <c r="M64" s="21">
        <v>1020</v>
      </c>
      <c r="N64" s="21">
        <v>3366000</v>
      </c>
      <c r="O64" s="21">
        <v>0</v>
      </c>
      <c r="P64" s="21">
        <v>0</v>
      </c>
      <c r="Q64" s="21">
        <v>3024.2</v>
      </c>
      <c r="R64" s="3">
        <f>Q64*2605</f>
        <v>7878040.9999999991</v>
      </c>
      <c r="S64" s="21">
        <v>0</v>
      </c>
      <c r="T64" s="21">
        <v>0</v>
      </c>
      <c r="U64" s="21">
        <v>200000</v>
      </c>
    </row>
    <row r="65" spans="1:22" ht="45" customHeight="1">
      <c r="A65" s="55" t="s">
        <v>1331</v>
      </c>
      <c r="B65" s="55"/>
      <c r="C65" s="1">
        <f t="shared" si="2"/>
        <v>1388000</v>
      </c>
      <c r="D65" s="1">
        <f t="shared" ref="D65:U65" si="23">SUM(D66)</f>
        <v>0</v>
      </c>
      <c r="E65" s="1">
        <f t="shared" si="23"/>
        <v>0</v>
      </c>
      <c r="F65" s="1">
        <f t="shared" si="23"/>
        <v>0</v>
      </c>
      <c r="G65" s="1">
        <f t="shared" si="23"/>
        <v>0</v>
      </c>
      <c r="H65" s="1">
        <f t="shared" si="23"/>
        <v>0</v>
      </c>
      <c r="I65" s="1">
        <f t="shared" si="23"/>
        <v>0</v>
      </c>
      <c r="J65" s="1">
        <f t="shared" si="23"/>
        <v>0</v>
      </c>
      <c r="K65" s="42">
        <f t="shared" si="23"/>
        <v>0</v>
      </c>
      <c r="L65" s="1">
        <f t="shared" si="23"/>
        <v>0</v>
      </c>
      <c r="M65" s="1">
        <f t="shared" si="23"/>
        <v>360</v>
      </c>
      <c r="N65" s="1">
        <f t="shared" si="23"/>
        <v>1188000</v>
      </c>
      <c r="O65" s="1">
        <f t="shared" si="23"/>
        <v>0</v>
      </c>
      <c r="P65" s="1">
        <f t="shared" si="23"/>
        <v>0</v>
      </c>
      <c r="Q65" s="1">
        <f t="shared" si="23"/>
        <v>0</v>
      </c>
      <c r="R65" s="1">
        <f t="shared" si="23"/>
        <v>0</v>
      </c>
      <c r="S65" s="1">
        <f t="shared" si="23"/>
        <v>0</v>
      </c>
      <c r="T65" s="1">
        <f t="shared" si="23"/>
        <v>0</v>
      </c>
      <c r="U65" s="1">
        <f t="shared" si="23"/>
        <v>200000</v>
      </c>
      <c r="V65" s="13">
        <f>C65</f>
        <v>1388000</v>
      </c>
    </row>
    <row r="66" spans="1:22" ht="21.95" customHeight="1">
      <c r="A66" s="19" t="s">
        <v>1627</v>
      </c>
      <c r="B66" s="24" t="s">
        <v>1332</v>
      </c>
      <c r="C66" s="1">
        <f t="shared" si="2"/>
        <v>1388000</v>
      </c>
      <c r="D66" s="21">
        <f>SUM(E66:J66)</f>
        <v>0</v>
      </c>
      <c r="E66" s="21">
        <v>0</v>
      </c>
      <c r="F66" s="21">
        <v>0</v>
      </c>
      <c r="G66" s="21">
        <v>0</v>
      </c>
      <c r="H66" s="21">
        <v>0</v>
      </c>
      <c r="I66" s="21">
        <v>0</v>
      </c>
      <c r="J66" s="21">
        <v>0</v>
      </c>
      <c r="K66" s="40">
        <v>0</v>
      </c>
      <c r="L66" s="21">
        <v>0</v>
      </c>
      <c r="M66" s="21">
        <v>360</v>
      </c>
      <c r="N66" s="21">
        <f>M66*3300</f>
        <v>1188000</v>
      </c>
      <c r="O66" s="21">
        <v>0</v>
      </c>
      <c r="P66" s="21">
        <v>0</v>
      </c>
      <c r="Q66" s="21">
        <v>0</v>
      </c>
      <c r="R66" s="3">
        <v>0</v>
      </c>
      <c r="S66" s="21">
        <v>0</v>
      </c>
      <c r="T66" s="21">
        <v>0</v>
      </c>
      <c r="U66" s="21">
        <v>200000</v>
      </c>
    </row>
    <row r="67" spans="1:22" ht="45" customHeight="1">
      <c r="A67" s="76" t="s">
        <v>138</v>
      </c>
      <c r="B67" s="77"/>
      <c r="C67" s="1">
        <f t="shared" si="2"/>
        <v>2597765</v>
      </c>
      <c r="D67" s="1">
        <f t="shared" ref="D67:U67" si="24">SUM(D68)</f>
        <v>0</v>
      </c>
      <c r="E67" s="1">
        <f t="shared" si="24"/>
        <v>0</v>
      </c>
      <c r="F67" s="1">
        <f t="shared" si="24"/>
        <v>0</v>
      </c>
      <c r="G67" s="1">
        <f t="shared" si="24"/>
        <v>0</v>
      </c>
      <c r="H67" s="1">
        <f t="shared" si="24"/>
        <v>0</v>
      </c>
      <c r="I67" s="1">
        <f t="shared" si="24"/>
        <v>0</v>
      </c>
      <c r="J67" s="1">
        <f t="shared" si="24"/>
        <v>0</v>
      </c>
      <c r="K67" s="42">
        <f t="shared" si="24"/>
        <v>0</v>
      </c>
      <c r="L67" s="1">
        <f t="shared" si="24"/>
        <v>0</v>
      </c>
      <c r="M67" s="1">
        <f t="shared" si="24"/>
        <v>366.8</v>
      </c>
      <c r="N67" s="1">
        <f t="shared" si="24"/>
        <v>1150285</v>
      </c>
      <c r="O67" s="1">
        <f t="shared" si="24"/>
        <v>0</v>
      </c>
      <c r="P67" s="1">
        <f t="shared" si="24"/>
        <v>0</v>
      </c>
      <c r="Q67" s="1">
        <f t="shared" si="24"/>
        <v>496</v>
      </c>
      <c r="R67" s="1">
        <f t="shared" si="24"/>
        <v>1292080</v>
      </c>
      <c r="S67" s="1">
        <f t="shared" si="24"/>
        <v>155400</v>
      </c>
      <c r="T67" s="1">
        <f t="shared" si="24"/>
        <v>0</v>
      </c>
      <c r="U67" s="1">
        <f t="shared" si="24"/>
        <v>0</v>
      </c>
      <c r="V67" s="13">
        <f>C67+C843</f>
        <v>4075065</v>
      </c>
    </row>
    <row r="68" spans="1:22" ht="21" customHeight="1">
      <c r="A68" s="19" t="s">
        <v>1628</v>
      </c>
      <c r="B68" s="24" t="s">
        <v>1570</v>
      </c>
      <c r="C68" s="1">
        <f t="shared" si="2"/>
        <v>2597765</v>
      </c>
      <c r="D68" s="21">
        <f>SUM(E68:J68)</f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40">
        <v>0</v>
      </c>
      <c r="L68" s="21">
        <v>0</v>
      </c>
      <c r="M68" s="21">
        <v>366.8</v>
      </c>
      <c r="N68" s="21">
        <v>1150285</v>
      </c>
      <c r="O68" s="21">
        <v>0</v>
      </c>
      <c r="P68" s="21">
        <v>0</v>
      </c>
      <c r="Q68" s="21">
        <v>496</v>
      </c>
      <c r="R68" s="21">
        <v>1292080</v>
      </c>
      <c r="S68" s="21">
        <v>155400</v>
      </c>
      <c r="T68" s="21">
        <v>0</v>
      </c>
      <c r="U68" s="21">
        <v>0</v>
      </c>
    </row>
    <row r="69" spans="1:22" ht="45" customHeight="1">
      <c r="A69" s="55" t="s">
        <v>145</v>
      </c>
      <c r="B69" s="55"/>
      <c r="C69" s="1">
        <f t="shared" si="2"/>
        <v>2801124.48</v>
      </c>
      <c r="D69" s="1">
        <f t="shared" ref="D69:U69" si="25">SUM(D70:D71)</f>
        <v>0</v>
      </c>
      <c r="E69" s="1">
        <f t="shared" si="25"/>
        <v>0</v>
      </c>
      <c r="F69" s="1">
        <f t="shared" si="25"/>
        <v>0</v>
      </c>
      <c r="G69" s="1">
        <f t="shared" si="25"/>
        <v>0</v>
      </c>
      <c r="H69" s="1">
        <f t="shared" si="25"/>
        <v>0</v>
      </c>
      <c r="I69" s="1">
        <f t="shared" si="25"/>
        <v>0</v>
      </c>
      <c r="J69" s="1">
        <f t="shared" si="25"/>
        <v>0</v>
      </c>
      <c r="K69" s="42">
        <f t="shared" si="25"/>
        <v>0</v>
      </c>
      <c r="L69" s="1">
        <f t="shared" si="25"/>
        <v>0</v>
      </c>
      <c r="M69" s="1">
        <f t="shared" si="25"/>
        <v>809.3</v>
      </c>
      <c r="N69" s="1">
        <f t="shared" si="25"/>
        <v>2601124.48</v>
      </c>
      <c r="O69" s="1">
        <f t="shared" si="25"/>
        <v>0</v>
      </c>
      <c r="P69" s="1">
        <f t="shared" si="25"/>
        <v>0</v>
      </c>
      <c r="Q69" s="1">
        <f t="shared" si="25"/>
        <v>0</v>
      </c>
      <c r="R69" s="1">
        <f t="shared" si="25"/>
        <v>0</v>
      </c>
      <c r="S69" s="1">
        <f t="shared" si="25"/>
        <v>0</v>
      </c>
      <c r="T69" s="1">
        <f t="shared" si="25"/>
        <v>0</v>
      </c>
      <c r="U69" s="1">
        <f t="shared" si="25"/>
        <v>200000</v>
      </c>
      <c r="V69" s="13">
        <f>C69+C432</f>
        <v>6589891.4800000004</v>
      </c>
    </row>
    <row r="70" spans="1:22" ht="32.25" customHeight="1">
      <c r="A70" s="25" t="s">
        <v>1629</v>
      </c>
      <c r="B70" s="24" t="s">
        <v>1571</v>
      </c>
      <c r="C70" s="1">
        <f t="shared" si="2"/>
        <v>1330228.48</v>
      </c>
      <c r="D70" s="21">
        <f t="shared" ref="D70:D71" si="26">SUM(E70:J70)</f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40">
        <v>0</v>
      </c>
      <c r="L70" s="21">
        <v>0</v>
      </c>
      <c r="M70" s="21">
        <v>424.18</v>
      </c>
      <c r="N70" s="3">
        <v>1330228.48</v>
      </c>
      <c r="O70" s="21">
        <v>0</v>
      </c>
      <c r="P70" s="21">
        <v>0</v>
      </c>
      <c r="Q70" s="21">
        <v>0</v>
      </c>
      <c r="R70" s="21">
        <v>0</v>
      </c>
      <c r="S70" s="21">
        <v>0</v>
      </c>
      <c r="T70" s="21">
        <v>0</v>
      </c>
      <c r="U70" s="21">
        <v>0</v>
      </c>
    </row>
    <row r="71" spans="1:22" ht="20.100000000000001" customHeight="1">
      <c r="A71" s="19" t="s">
        <v>1630</v>
      </c>
      <c r="B71" s="24" t="s">
        <v>147</v>
      </c>
      <c r="C71" s="1">
        <f t="shared" si="2"/>
        <v>1470896</v>
      </c>
      <c r="D71" s="21">
        <f t="shared" si="26"/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40">
        <v>0</v>
      </c>
      <c r="L71" s="21">
        <v>0</v>
      </c>
      <c r="M71" s="21">
        <v>385.12</v>
      </c>
      <c r="N71" s="21">
        <v>1270896</v>
      </c>
      <c r="O71" s="21">
        <v>0</v>
      </c>
      <c r="P71" s="21">
        <v>0</v>
      </c>
      <c r="Q71" s="21">
        <v>0</v>
      </c>
      <c r="R71" s="21">
        <v>0</v>
      </c>
      <c r="S71" s="21">
        <v>0</v>
      </c>
      <c r="T71" s="21">
        <v>0</v>
      </c>
      <c r="U71" s="21">
        <v>200000</v>
      </c>
    </row>
    <row r="72" spans="1:22" ht="45" customHeight="1">
      <c r="A72" s="55" t="s">
        <v>1577</v>
      </c>
      <c r="B72" s="55"/>
      <c r="C72" s="1">
        <f t="shared" si="2"/>
        <v>1027363.6</v>
      </c>
      <c r="D72" s="1">
        <f t="shared" ref="D72:U72" si="27">SUM(D73)</f>
        <v>0</v>
      </c>
      <c r="E72" s="1">
        <f t="shared" si="27"/>
        <v>0</v>
      </c>
      <c r="F72" s="1">
        <f t="shared" si="27"/>
        <v>0</v>
      </c>
      <c r="G72" s="1">
        <f t="shared" si="27"/>
        <v>0</v>
      </c>
      <c r="H72" s="1">
        <f t="shared" si="27"/>
        <v>0</v>
      </c>
      <c r="I72" s="1">
        <f t="shared" si="27"/>
        <v>0</v>
      </c>
      <c r="J72" s="1">
        <f t="shared" si="27"/>
        <v>0</v>
      </c>
      <c r="K72" s="42">
        <f t="shared" si="27"/>
        <v>0</v>
      </c>
      <c r="L72" s="1">
        <f t="shared" si="27"/>
        <v>0</v>
      </c>
      <c r="M72" s="1">
        <f t="shared" si="27"/>
        <v>327.60000000000002</v>
      </c>
      <c r="N72" s="1">
        <f t="shared" si="27"/>
        <v>1027363.6</v>
      </c>
      <c r="O72" s="1">
        <f t="shared" si="27"/>
        <v>0</v>
      </c>
      <c r="P72" s="1">
        <f t="shared" si="27"/>
        <v>0</v>
      </c>
      <c r="Q72" s="1">
        <f t="shared" si="27"/>
        <v>0</v>
      </c>
      <c r="R72" s="1">
        <f t="shared" si="27"/>
        <v>0</v>
      </c>
      <c r="S72" s="1">
        <f t="shared" si="27"/>
        <v>0</v>
      </c>
      <c r="T72" s="1">
        <f t="shared" si="27"/>
        <v>0</v>
      </c>
      <c r="U72" s="1">
        <f t="shared" si="27"/>
        <v>0</v>
      </c>
      <c r="V72" s="13">
        <f>C72</f>
        <v>1027363.6</v>
      </c>
    </row>
    <row r="73" spans="1:22" ht="21.75" customHeight="1">
      <c r="A73" s="19" t="s">
        <v>1631</v>
      </c>
      <c r="B73" s="24" t="s">
        <v>1578</v>
      </c>
      <c r="C73" s="1">
        <f t="shared" si="2"/>
        <v>1027363.6</v>
      </c>
      <c r="D73" s="21">
        <f>SUM(E73:J73)</f>
        <v>0</v>
      </c>
      <c r="E73" s="21">
        <v>0</v>
      </c>
      <c r="F73" s="21">
        <v>0</v>
      </c>
      <c r="G73" s="21">
        <v>0</v>
      </c>
      <c r="H73" s="21">
        <v>0</v>
      </c>
      <c r="I73" s="21">
        <v>0</v>
      </c>
      <c r="J73" s="21">
        <v>0</v>
      </c>
      <c r="K73" s="40">
        <v>0</v>
      </c>
      <c r="L73" s="21">
        <v>0</v>
      </c>
      <c r="M73" s="21">
        <v>327.60000000000002</v>
      </c>
      <c r="N73" s="3">
        <v>1027363.6</v>
      </c>
      <c r="O73" s="21">
        <v>0</v>
      </c>
      <c r="P73" s="21">
        <v>0</v>
      </c>
      <c r="Q73" s="21">
        <v>0</v>
      </c>
      <c r="R73" s="21">
        <v>0</v>
      </c>
      <c r="S73" s="21">
        <v>0</v>
      </c>
      <c r="T73" s="21">
        <v>0</v>
      </c>
      <c r="U73" s="21">
        <v>0</v>
      </c>
    </row>
    <row r="74" spans="1:22" ht="45" customHeight="1">
      <c r="A74" s="55" t="s">
        <v>151</v>
      </c>
      <c r="B74" s="55"/>
      <c r="C74" s="1">
        <f t="shared" si="2"/>
        <v>5371460</v>
      </c>
      <c r="D74" s="1">
        <f t="shared" ref="D74:U74" si="28">SUM(D75)</f>
        <v>1593960</v>
      </c>
      <c r="E74" s="1">
        <f t="shared" si="28"/>
        <v>301560</v>
      </c>
      <c r="F74" s="1">
        <f t="shared" si="28"/>
        <v>689280</v>
      </c>
      <c r="G74" s="1">
        <f t="shared" si="28"/>
        <v>258480</v>
      </c>
      <c r="H74" s="1">
        <f t="shared" si="28"/>
        <v>0</v>
      </c>
      <c r="I74" s="1">
        <f t="shared" si="28"/>
        <v>344640</v>
      </c>
      <c r="J74" s="1">
        <f t="shared" si="28"/>
        <v>0</v>
      </c>
      <c r="K74" s="42">
        <f t="shared" si="28"/>
        <v>0</v>
      </c>
      <c r="L74" s="1">
        <f t="shared" si="28"/>
        <v>0</v>
      </c>
      <c r="M74" s="1">
        <f t="shared" si="28"/>
        <v>675</v>
      </c>
      <c r="N74" s="1">
        <f t="shared" si="28"/>
        <v>3577500</v>
      </c>
      <c r="O74" s="1">
        <f t="shared" si="28"/>
        <v>0</v>
      </c>
      <c r="P74" s="1">
        <f t="shared" si="28"/>
        <v>0</v>
      </c>
      <c r="Q74" s="1">
        <f t="shared" si="28"/>
        <v>0</v>
      </c>
      <c r="R74" s="1">
        <f t="shared" si="28"/>
        <v>0</v>
      </c>
      <c r="S74" s="1">
        <f t="shared" si="28"/>
        <v>0</v>
      </c>
      <c r="T74" s="1">
        <f t="shared" si="28"/>
        <v>0</v>
      </c>
      <c r="U74" s="1">
        <f t="shared" si="28"/>
        <v>200000</v>
      </c>
      <c r="V74" s="13">
        <f>C74</f>
        <v>5371460</v>
      </c>
    </row>
    <row r="75" spans="1:22" ht="21.95" customHeight="1">
      <c r="A75" s="19" t="s">
        <v>1632</v>
      </c>
      <c r="B75" s="24" t="s">
        <v>1347</v>
      </c>
      <c r="C75" s="1">
        <f t="shared" ref="C75:C138" si="29">D75+L75+N75+P75+R75+S75+T75+U75</f>
        <v>5371460</v>
      </c>
      <c r="D75" s="21">
        <f>SUM(E75:J75)</f>
        <v>1593960</v>
      </c>
      <c r="E75" s="21">
        <f>350*861.6</f>
        <v>301560</v>
      </c>
      <c r="F75" s="21">
        <f>800*861.6</f>
        <v>689280</v>
      </c>
      <c r="G75" s="21">
        <f>300*861.6</f>
        <v>258480</v>
      </c>
      <c r="H75" s="21">
        <f>500*0</f>
        <v>0</v>
      </c>
      <c r="I75" s="21">
        <f>400*861.6</f>
        <v>344640</v>
      </c>
      <c r="J75" s="21">
        <f>350*0</f>
        <v>0</v>
      </c>
      <c r="K75" s="40">
        <v>0</v>
      </c>
      <c r="L75" s="21">
        <v>0</v>
      </c>
      <c r="M75" s="21">
        <v>675</v>
      </c>
      <c r="N75" s="21">
        <f>5300*M75</f>
        <v>3577500</v>
      </c>
      <c r="O75" s="21">
        <v>0</v>
      </c>
      <c r="P75" s="21">
        <v>0</v>
      </c>
      <c r="Q75" s="21">
        <v>0</v>
      </c>
      <c r="R75" s="21">
        <v>0</v>
      </c>
      <c r="S75" s="21">
        <v>0</v>
      </c>
      <c r="T75" s="21">
        <v>0</v>
      </c>
      <c r="U75" s="21">
        <v>200000</v>
      </c>
    </row>
    <row r="76" spans="1:22" ht="45" customHeight="1">
      <c r="A76" s="55" t="s">
        <v>154</v>
      </c>
      <c r="B76" s="55"/>
      <c r="C76" s="1">
        <f t="shared" si="29"/>
        <v>6424150</v>
      </c>
      <c r="D76" s="1">
        <f t="shared" ref="D76:U76" si="30">SUM(D77:D78)</f>
        <v>0</v>
      </c>
      <c r="E76" s="1">
        <f t="shared" si="30"/>
        <v>0</v>
      </c>
      <c r="F76" s="1">
        <f t="shared" si="30"/>
        <v>0</v>
      </c>
      <c r="G76" s="1">
        <f t="shared" si="30"/>
        <v>0</v>
      </c>
      <c r="H76" s="1">
        <f t="shared" si="30"/>
        <v>0</v>
      </c>
      <c r="I76" s="1">
        <f t="shared" si="30"/>
        <v>0</v>
      </c>
      <c r="J76" s="1">
        <f t="shared" si="30"/>
        <v>0</v>
      </c>
      <c r="K76" s="42">
        <f t="shared" si="30"/>
        <v>0</v>
      </c>
      <c r="L76" s="1">
        <f t="shared" si="30"/>
        <v>0</v>
      </c>
      <c r="M76" s="1">
        <f t="shared" si="30"/>
        <v>1285.5</v>
      </c>
      <c r="N76" s="1">
        <f t="shared" si="30"/>
        <v>6024150</v>
      </c>
      <c r="O76" s="1">
        <f t="shared" si="30"/>
        <v>0</v>
      </c>
      <c r="P76" s="1">
        <f t="shared" si="30"/>
        <v>0</v>
      </c>
      <c r="Q76" s="1">
        <f t="shared" si="30"/>
        <v>0</v>
      </c>
      <c r="R76" s="1">
        <f t="shared" si="30"/>
        <v>0</v>
      </c>
      <c r="S76" s="1">
        <f t="shared" si="30"/>
        <v>0</v>
      </c>
      <c r="T76" s="1">
        <f t="shared" si="30"/>
        <v>0</v>
      </c>
      <c r="U76" s="1">
        <f t="shared" si="30"/>
        <v>400000</v>
      </c>
      <c r="V76" s="13">
        <f>C76+C438+C847</f>
        <v>34279150.149999999</v>
      </c>
    </row>
    <row r="77" spans="1:22" ht="21.95" customHeight="1">
      <c r="A77" s="19" t="s">
        <v>1633</v>
      </c>
      <c r="B77" s="24" t="s">
        <v>159</v>
      </c>
      <c r="C77" s="1">
        <f t="shared" si="29"/>
        <v>4922300</v>
      </c>
      <c r="D77" s="21">
        <f t="shared" ref="D77:D78" si="31">SUM(E77:J77)</f>
        <v>0</v>
      </c>
      <c r="E77" s="21">
        <v>0</v>
      </c>
      <c r="F77" s="21">
        <v>0</v>
      </c>
      <c r="G77" s="21">
        <v>0</v>
      </c>
      <c r="H77" s="21">
        <v>0</v>
      </c>
      <c r="I77" s="21">
        <v>0</v>
      </c>
      <c r="J77" s="21">
        <v>0</v>
      </c>
      <c r="K77" s="40">
        <v>0</v>
      </c>
      <c r="L77" s="21">
        <v>0</v>
      </c>
      <c r="M77" s="21">
        <v>891</v>
      </c>
      <c r="N77" s="21">
        <v>4722300</v>
      </c>
      <c r="O77" s="21">
        <v>0</v>
      </c>
      <c r="P77" s="21">
        <v>0</v>
      </c>
      <c r="Q77" s="21">
        <v>0</v>
      </c>
      <c r="R77" s="3">
        <v>0</v>
      </c>
      <c r="S77" s="21">
        <v>0</v>
      </c>
      <c r="T77" s="21">
        <v>0</v>
      </c>
      <c r="U77" s="21">
        <v>200000</v>
      </c>
    </row>
    <row r="78" spans="1:22" ht="21.95" customHeight="1">
      <c r="A78" s="19" t="s">
        <v>1634</v>
      </c>
      <c r="B78" s="24" t="s">
        <v>163</v>
      </c>
      <c r="C78" s="1">
        <f t="shared" si="29"/>
        <v>1501850</v>
      </c>
      <c r="D78" s="21">
        <f t="shared" si="31"/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40">
        <v>0</v>
      </c>
      <c r="L78" s="21">
        <v>0</v>
      </c>
      <c r="M78" s="21">
        <v>394.5</v>
      </c>
      <c r="N78" s="21">
        <v>1301850</v>
      </c>
      <c r="O78" s="21">
        <v>0</v>
      </c>
      <c r="P78" s="21">
        <v>0</v>
      </c>
      <c r="Q78" s="21">
        <v>0</v>
      </c>
      <c r="R78" s="3">
        <v>0</v>
      </c>
      <c r="S78" s="21">
        <v>0</v>
      </c>
      <c r="T78" s="21">
        <v>0</v>
      </c>
      <c r="U78" s="21">
        <v>200000</v>
      </c>
    </row>
    <row r="79" spans="1:22" ht="45" customHeight="1">
      <c r="A79" s="55" t="s">
        <v>1966</v>
      </c>
      <c r="B79" s="55"/>
      <c r="C79" s="1">
        <f t="shared" si="29"/>
        <v>1774100</v>
      </c>
      <c r="D79" s="1">
        <f t="shared" ref="D79:U79" si="32">SUM(D80)</f>
        <v>0</v>
      </c>
      <c r="E79" s="1">
        <f t="shared" si="32"/>
        <v>0</v>
      </c>
      <c r="F79" s="1">
        <f t="shared" si="32"/>
        <v>0</v>
      </c>
      <c r="G79" s="1">
        <f t="shared" si="32"/>
        <v>0</v>
      </c>
      <c r="H79" s="1">
        <f t="shared" si="32"/>
        <v>0</v>
      </c>
      <c r="I79" s="1">
        <f t="shared" si="32"/>
        <v>0</v>
      </c>
      <c r="J79" s="1">
        <f t="shared" si="32"/>
        <v>0</v>
      </c>
      <c r="K79" s="42">
        <f t="shared" si="32"/>
        <v>0</v>
      </c>
      <c r="L79" s="1">
        <f t="shared" si="32"/>
        <v>0</v>
      </c>
      <c r="M79" s="1">
        <f t="shared" si="32"/>
        <v>297</v>
      </c>
      <c r="N79" s="1">
        <f t="shared" si="32"/>
        <v>1574100</v>
      </c>
      <c r="O79" s="1">
        <f t="shared" si="32"/>
        <v>0</v>
      </c>
      <c r="P79" s="1">
        <f t="shared" si="32"/>
        <v>0</v>
      </c>
      <c r="Q79" s="1">
        <f t="shared" si="32"/>
        <v>0</v>
      </c>
      <c r="R79" s="1">
        <f t="shared" si="32"/>
        <v>0</v>
      </c>
      <c r="S79" s="1">
        <f t="shared" si="32"/>
        <v>0</v>
      </c>
      <c r="T79" s="1">
        <f t="shared" si="32"/>
        <v>0</v>
      </c>
      <c r="U79" s="1">
        <f t="shared" si="32"/>
        <v>200000</v>
      </c>
      <c r="V79" s="13">
        <f>C79+C445+C852</f>
        <v>4708984</v>
      </c>
    </row>
    <row r="80" spans="1:22" ht="21.95" customHeight="1">
      <c r="A80" s="19" t="s">
        <v>1635</v>
      </c>
      <c r="B80" s="24" t="s">
        <v>164</v>
      </c>
      <c r="C80" s="1">
        <f t="shared" si="29"/>
        <v>1774100</v>
      </c>
      <c r="D80" s="21">
        <f>SUM(E80:J80)</f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40">
        <v>0</v>
      </c>
      <c r="L80" s="21">
        <v>0</v>
      </c>
      <c r="M80" s="21">
        <v>297</v>
      </c>
      <c r="N80" s="21">
        <f>M80*5300</f>
        <v>1574100</v>
      </c>
      <c r="O80" s="21">
        <v>0</v>
      </c>
      <c r="P80" s="21">
        <v>0</v>
      </c>
      <c r="Q80" s="21">
        <v>0</v>
      </c>
      <c r="R80" s="3">
        <v>0</v>
      </c>
      <c r="S80" s="21">
        <v>0</v>
      </c>
      <c r="T80" s="21">
        <v>0</v>
      </c>
      <c r="U80" s="21">
        <v>200000</v>
      </c>
    </row>
    <row r="81" spans="1:22" ht="45" customHeight="1">
      <c r="A81" s="55" t="s">
        <v>167</v>
      </c>
      <c r="B81" s="55"/>
      <c r="C81" s="1">
        <f t="shared" si="29"/>
        <v>2543000</v>
      </c>
      <c r="D81" s="1">
        <f t="shared" ref="D81:U81" si="33">SUM(D82)</f>
        <v>0</v>
      </c>
      <c r="E81" s="1">
        <f t="shared" si="33"/>
        <v>0</v>
      </c>
      <c r="F81" s="1">
        <f t="shared" si="33"/>
        <v>0</v>
      </c>
      <c r="G81" s="1">
        <f t="shared" si="33"/>
        <v>0</v>
      </c>
      <c r="H81" s="1">
        <f t="shared" si="33"/>
        <v>0</v>
      </c>
      <c r="I81" s="1">
        <f t="shared" si="33"/>
        <v>0</v>
      </c>
      <c r="J81" s="1">
        <f t="shared" si="33"/>
        <v>0</v>
      </c>
      <c r="K81" s="42">
        <f t="shared" si="33"/>
        <v>0</v>
      </c>
      <c r="L81" s="1">
        <f t="shared" si="33"/>
        <v>0</v>
      </c>
      <c r="M81" s="1">
        <f t="shared" si="33"/>
        <v>710</v>
      </c>
      <c r="N81" s="1">
        <f t="shared" si="33"/>
        <v>2343000</v>
      </c>
      <c r="O81" s="1">
        <f t="shared" si="33"/>
        <v>0</v>
      </c>
      <c r="P81" s="1">
        <f t="shared" si="33"/>
        <v>0</v>
      </c>
      <c r="Q81" s="1">
        <f t="shared" si="33"/>
        <v>0</v>
      </c>
      <c r="R81" s="1">
        <f t="shared" si="33"/>
        <v>0</v>
      </c>
      <c r="S81" s="1">
        <f t="shared" si="33"/>
        <v>0</v>
      </c>
      <c r="T81" s="1">
        <f t="shared" si="33"/>
        <v>0</v>
      </c>
      <c r="U81" s="1">
        <f t="shared" si="33"/>
        <v>200000</v>
      </c>
      <c r="V81" s="13">
        <f>C81</f>
        <v>2543000</v>
      </c>
    </row>
    <row r="82" spans="1:22" ht="21.95" customHeight="1">
      <c r="A82" s="19" t="s">
        <v>863</v>
      </c>
      <c r="B82" s="24" t="s">
        <v>168</v>
      </c>
      <c r="C82" s="1">
        <f t="shared" si="29"/>
        <v>2543000</v>
      </c>
      <c r="D82" s="21">
        <f>SUM(E82:J82)</f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40">
        <v>0</v>
      </c>
      <c r="L82" s="21">
        <v>0</v>
      </c>
      <c r="M82" s="21">
        <v>710</v>
      </c>
      <c r="N82" s="21">
        <f>M82*3300</f>
        <v>2343000</v>
      </c>
      <c r="O82" s="21">
        <v>0</v>
      </c>
      <c r="P82" s="21">
        <v>0</v>
      </c>
      <c r="Q82" s="21">
        <v>0</v>
      </c>
      <c r="R82" s="21">
        <v>0</v>
      </c>
      <c r="S82" s="21">
        <v>0</v>
      </c>
      <c r="T82" s="21">
        <v>0</v>
      </c>
      <c r="U82" s="21">
        <v>200000</v>
      </c>
    </row>
    <row r="83" spans="1:22" ht="45" customHeight="1">
      <c r="A83" s="55" t="s">
        <v>169</v>
      </c>
      <c r="B83" s="55"/>
      <c r="C83" s="1">
        <f t="shared" si="29"/>
        <v>151713042.61000001</v>
      </c>
      <c r="D83" s="1">
        <f t="shared" ref="D83:U83" si="34">SUM(D84:D102)</f>
        <v>32185840</v>
      </c>
      <c r="E83" s="1">
        <f t="shared" si="34"/>
        <v>5017390</v>
      </c>
      <c r="F83" s="1">
        <f t="shared" si="34"/>
        <v>11256720</v>
      </c>
      <c r="G83" s="1">
        <f t="shared" si="34"/>
        <v>4300620</v>
      </c>
      <c r="H83" s="1">
        <f t="shared" si="34"/>
        <v>5876950</v>
      </c>
      <c r="I83" s="1">
        <f t="shared" si="34"/>
        <v>5734160</v>
      </c>
      <c r="J83" s="1">
        <f t="shared" si="34"/>
        <v>0</v>
      </c>
      <c r="K83" s="42">
        <f t="shared" si="34"/>
        <v>0</v>
      </c>
      <c r="L83" s="1">
        <f t="shared" si="34"/>
        <v>0</v>
      </c>
      <c r="M83" s="1">
        <f t="shared" si="34"/>
        <v>13705.7</v>
      </c>
      <c r="N83" s="1">
        <f t="shared" si="34"/>
        <v>52880180</v>
      </c>
      <c r="O83" s="1">
        <f t="shared" si="34"/>
        <v>0</v>
      </c>
      <c r="P83" s="1">
        <f t="shared" si="34"/>
        <v>0</v>
      </c>
      <c r="Q83" s="1">
        <f t="shared" si="34"/>
        <v>21816.699999999997</v>
      </c>
      <c r="R83" s="1">
        <f t="shared" si="34"/>
        <v>56832503.5</v>
      </c>
      <c r="S83" s="1">
        <f t="shared" si="34"/>
        <v>5714519.1100000003</v>
      </c>
      <c r="T83" s="1">
        <f t="shared" si="34"/>
        <v>0</v>
      </c>
      <c r="U83" s="1">
        <f t="shared" si="34"/>
        <v>4100000</v>
      </c>
      <c r="V83" s="13">
        <f>C83+C447+C854</f>
        <v>355493428.11000001</v>
      </c>
    </row>
    <row r="84" spans="1:22" ht="21.95" customHeight="1">
      <c r="A84" s="19" t="s">
        <v>1636</v>
      </c>
      <c r="B84" s="24" t="s">
        <v>1564</v>
      </c>
      <c r="C84" s="1">
        <f t="shared" si="29"/>
        <v>3609210</v>
      </c>
      <c r="D84" s="21">
        <f t="shared" ref="D84:D102" si="35">SUM(E84:J84)</f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40">
        <v>0</v>
      </c>
      <c r="L84" s="21">
        <v>0</v>
      </c>
      <c r="M84" s="3">
        <v>1093.7</v>
      </c>
      <c r="N84" s="3">
        <v>3609210</v>
      </c>
      <c r="O84" s="21">
        <v>0</v>
      </c>
      <c r="P84" s="21">
        <v>0</v>
      </c>
      <c r="Q84" s="21">
        <v>0</v>
      </c>
      <c r="R84" s="21">
        <v>0</v>
      </c>
      <c r="S84" s="21">
        <v>0</v>
      </c>
      <c r="T84" s="21">
        <v>0</v>
      </c>
      <c r="U84" s="21">
        <v>0</v>
      </c>
    </row>
    <row r="85" spans="1:22" ht="21.95" customHeight="1">
      <c r="A85" s="19" t="s">
        <v>1637</v>
      </c>
      <c r="B85" s="28" t="s">
        <v>172</v>
      </c>
      <c r="C85" s="1">
        <f t="shared" si="29"/>
        <v>22001912</v>
      </c>
      <c r="D85" s="21">
        <f t="shared" si="35"/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40">
        <v>0</v>
      </c>
      <c r="L85" s="21">
        <v>0</v>
      </c>
      <c r="M85" s="21">
        <v>1167.4000000000001</v>
      </c>
      <c r="N85" s="21">
        <f t="shared" ref="N85:N90" si="36">M85*3300</f>
        <v>3852420.0000000005</v>
      </c>
      <c r="O85" s="21">
        <v>0</v>
      </c>
      <c r="P85" s="21">
        <v>0</v>
      </c>
      <c r="Q85" s="3">
        <v>6890.4</v>
      </c>
      <c r="R85" s="21">
        <f>Q85*2605</f>
        <v>17949492</v>
      </c>
      <c r="S85" s="21">
        <v>0</v>
      </c>
      <c r="T85" s="21">
        <v>0</v>
      </c>
      <c r="U85" s="21">
        <v>200000</v>
      </c>
    </row>
    <row r="86" spans="1:22" ht="21.95" customHeight="1">
      <c r="A86" s="19" t="s">
        <v>1638</v>
      </c>
      <c r="B86" s="28" t="s">
        <v>171</v>
      </c>
      <c r="C86" s="1">
        <f t="shared" si="29"/>
        <v>15945715</v>
      </c>
      <c r="D86" s="21">
        <f t="shared" si="35"/>
        <v>0</v>
      </c>
      <c r="E86" s="21">
        <v>0</v>
      </c>
      <c r="F86" s="21">
        <v>0</v>
      </c>
      <c r="G86" s="21">
        <v>0</v>
      </c>
      <c r="H86" s="21">
        <v>0</v>
      </c>
      <c r="I86" s="21">
        <v>0</v>
      </c>
      <c r="J86" s="21">
        <v>0</v>
      </c>
      <c r="K86" s="40">
        <v>0</v>
      </c>
      <c r="L86" s="21">
        <v>0</v>
      </c>
      <c r="M86" s="21">
        <v>1617.8</v>
      </c>
      <c r="N86" s="21">
        <f t="shared" si="36"/>
        <v>5338740</v>
      </c>
      <c r="O86" s="21">
        <v>0</v>
      </c>
      <c r="P86" s="21">
        <v>0</v>
      </c>
      <c r="Q86" s="3">
        <v>3995</v>
      </c>
      <c r="R86" s="21">
        <f>Q86*2605</f>
        <v>10406975</v>
      </c>
      <c r="S86" s="21">
        <v>0</v>
      </c>
      <c r="T86" s="21">
        <v>0</v>
      </c>
      <c r="U86" s="21">
        <v>200000</v>
      </c>
    </row>
    <row r="87" spans="1:22" ht="21.95" customHeight="1">
      <c r="A87" s="19" t="s">
        <v>1639</v>
      </c>
      <c r="B87" s="28" t="s">
        <v>173</v>
      </c>
      <c r="C87" s="1">
        <f t="shared" si="29"/>
        <v>3771590</v>
      </c>
      <c r="D87" s="21">
        <f t="shared" si="35"/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40">
        <v>0</v>
      </c>
      <c r="L87" s="21">
        <v>0</v>
      </c>
      <c r="M87" s="21">
        <v>1082.3</v>
      </c>
      <c r="N87" s="21">
        <f t="shared" si="36"/>
        <v>3571590</v>
      </c>
      <c r="O87" s="21">
        <v>0</v>
      </c>
      <c r="P87" s="21">
        <v>0</v>
      </c>
      <c r="Q87" s="3">
        <v>0</v>
      </c>
      <c r="R87" s="21">
        <v>0</v>
      </c>
      <c r="S87" s="21">
        <v>0</v>
      </c>
      <c r="T87" s="21">
        <v>0</v>
      </c>
      <c r="U87" s="21">
        <v>200000</v>
      </c>
    </row>
    <row r="88" spans="1:22" ht="21.95" customHeight="1">
      <c r="A88" s="19" t="s">
        <v>864</v>
      </c>
      <c r="B88" s="28" t="s">
        <v>174</v>
      </c>
      <c r="C88" s="1">
        <f t="shared" si="29"/>
        <v>13614740</v>
      </c>
      <c r="D88" s="21">
        <f t="shared" si="35"/>
        <v>13414740</v>
      </c>
      <c r="E88" s="21">
        <f>350*5708.4</f>
        <v>1997939.9999999998</v>
      </c>
      <c r="F88" s="21">
        <f>800*5708.4</f>
        <v>4566720</v>
      </c>
      <c r="G88" s="21">
        <f>300*5708.4</f>
        <v>1712520</v>
      </c>
      <c r="H88" s="21">
        <f>500*5708.4</f>
        <v>2854200</v>
      </c>
      <c r="I88" s="21">
        <f>400*5708.4</f>
        <v>2283360</v>
      </c>
      <c r="J88" s="21">
        <f t="shared" ref="J88" si="37">350*0</f>
        <v>0</v>
      </c>
      <c r="K88" s="40">
        <v>0</v>
      </c>
      <c r="L88" s="21">
        <v>0</v>
      </c>
      <c r="M88" s="21">
        <v>0</v>
      </c>
      <c r="N88" s="21">
        <f t="shared" si="36"/>
        <v>0</v>
      </c>
      <c r="O88" s="21">
        <v>0</v>
      </c>
      <c r="P88" s="21">
        <v>0</v>
      </c>
      <c r="Q88" s="3">
        <v>0</v>
      </c>
      <c r="R88" s="21">
        <f>Q88*2605</f>
        <v>0</v>
      </c>
      <c r="S88" s="21">
        <v>0</v>
      </c>
      <c r="T88" s="21">
        <v>0</v>
      </c>
      <c r="U88" s="21">
        <v>200000</v>
      </c>
    </row>
    <row r="89" spans="1:22" ht="21.95" customHeight="1">
      <c r="A89" s="19" t="s">
        <v>1640</v>
      </c>
      <c r="B89" s="28" t="s">
        <v>175</v>
      </c>
      <c r="C89" s="1">
        <f t="shared" si="29"/>
        <v>14996157.5</v>
      </c>
      <c r="D89" s="21">
        <f t="shared" si="35"/>
        <v>0</v>
      </c>
      <c r="E89" s="21">
        <v>0</v>
      </c>
      <c r="F89" s="21">
        <v>0</v>
      </c>
      <c r="G89" s="21">
        <v>0</v>
      </c>
      <c r="H89" s="21">
        <v>0</v>
      </c>
      <c r="I89" s="21">
        <v>0</v>
      </c>
      <c r="J89" s="21">
        <v>0</v>
      </c>
      <c r="K89" s="40">
        <v>0</v>
      </c>
      <c r="L89" s="21">
        <v>0</v>
      </c>
      <c r="M89" s="21">
        <v>1512.8</v>
      </c>
      <c r="N89" s="21">
        <f t="shared" si="36"/>
        <v>4992240</v>
      </c>
      <c r="O89" s="21">
        <v>0</v>
      </c>
      <c r="P89" s="21">
        <v>0</v>
      </c>
      <c r="Q89" s="3">
        <v>3763.5</v>
      </c>
      <c r="R89" s="21">
        <f>Q89*2605</f>
        <v>9803917.5</v>
      </c>
      <c r="S89" s="21">
        <v>0</v>
      </c>
      <c r="T89" s="21">
        <v>0</v>
      </c>
      <c r="U89" s="21">
        <v>200000</v>
      </c>
    </row>
    <row r="90" spans="1:22" ht="21.95" customHeight="1">
      <c r="A90" s="19" t="s">
        <v>1641</v>
      </c>
      <c r="B90" s="28" t="s">
        <v>176</v>
      </c>
      <c r="C90" s="1">
        <f t="shared" si="29"/>
        <v>19185405</v>
      </c>
      <c r="D90" s="21">
        <f t="shared" si="35"/>
        <v>13544695</v>
      </c>
      <c r="E90" s="21">
        <f>350*5763.7</f>
        <v>2017295</v>
      </c>
      <c r="F90" s="21">
        <f>800*5763.7</f>
        <v>4610960</v>
      </c>
      <c r="G90" s="21">
        <f>300*5763.7</f>
        <v>1729110</v>
      </c>
      <c r="H90" s="21">
        <f>500*5763.7</f>
        <v>2881850</v>
      </c>
      <c r="I90" s="21">
        <f>400*5763.7</f>
        <v>2305480</v>
      </c>
      <c r="J90" s="21">
        <f t="shared" ref="J90" si="38">350*0</f>
        <v>0</v>
      </c>
      <c r="K90" s="40">
        <v>0</v>
      </c>
      <c r="L90" s="21">
        <v>0</v>
      </c>
      <c r="M90" s="21">
        <v>1648.7</v>
      </c>
      <c r="N90" s="21">
        <f t="shared" si="36"/>
        <v>5440710</v>
      </c>
      <c r="O90" s="21">
        <v>0</v>
      </c>
      <c r="P90" s="21">
        <v>0</v>
      </c>
      <c r="Q90" s="3">
        <v>0</v>
      </c>
      <c r="R90" s="21">
        <v>0</v>
      </c>
      <c r="S90" s="21">
        <v>0</v>
      </c>
      <c r="T90" s="21">
        <v>0</v>
      </c>
      <c r="U90" s="21">
        <v>200000</v>
      </c>
    </row>
    <row r="91" spans="1:22" ht="21.95" customHeight="1">
      <c r="A91" s="19" t="s">
        <v>865</v>
      </c>
      <c r="B91" s="24" t="s">
        <v>1584</v>
      </c>
      <c r="C91" s="1">
        <f t="shared" si="29"/>
        <v>20043863.609999999</v>
      </c>
      <c r="D91" s="21">
        <f t="shared" si="35"/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0</v>
      </c>
      <c r="K91" s="40">
        <v>0</v>
      </c>
      <c r="L91" s="3">
        <v>0</v>
      </c>
      <c r="M91" s="21">
        <v>1528.1</v>
      </c>
      <c r="N91" s="3">
        <v>4584300</v>
      </c>
      <c r="O91" s="21">
        <v>0</v>
      </c>
      <c r="P91" s="21">
        <v>0</v>
      </c>
      <c r="Q91" s="21">
        <v>3740.9</v>
      </c>
      <c r="R91" s="21">
        <v>9745044.5</v>
      </c>
      <c r="S91" s="21">
        <v>5714519.1100000003</v>
      </c>
      <c r="T91" s="21">
        <v>0</v>
      </c>
      <c r="U91" s="21">
        <v>0</v>
      </c>
    </row>
    <row r="92" spans="1:22" ht="21.95" customHeight="1">
      <c r="A92" s="19" t="s">
        <v>1642</v>
      </c>
      <c r="B92" s="26" t="s">
        <v>177</v>
      </c>
      <c r="C92" s="1">
        <f t="shared" si="29"/>
        <v>3502019</v>
      </c>
      <c r="D92" s="21">
        <f t="shared" si="35"/>
        <v>662230</v>
      </c>
      <c r="E92" s="21">
        <f>350*281.8</f>
        <v>98630</v>
      </c>
      <c r="F92" s="21">
        <f>800*281.8</f>
        <v>225440</v>
      </c>
      <c r="G92" s="21">
        <f>300*281.8</f>
        <v>84540</v>
      </c>
      <c r="H92" s="21">
        <f>500*281.8</f>
        <v>140900</v>
      </c>
      <c r="I92" s="21">
        <f>400*281.8</f>
        <v>112720</v>
      </c>
      <c r="J92" s="21">
        <f t="shared" ref="J92:J93" si="39">350*0</f>
        <v>0</v>
      </c>
      <c r="K92" s="40">
        <v>0</v>
      </c>
      <c r="L92" s="21">
        <v>0</v>
      </c>
      <c r="M92" s="21">
        <v>253.4</v>
      </c>
      <c r="N92" s="21">
        <f t="shared" ref="N92:N101" si="40">M92*5300</f>
        <v>1343020</v>
      </c>
      <c r="O92" s="21">
        <v>0</v>
      </c>
      <c r="P92" s="21">
        <v>0</v>
      </c>
      <c r="Q92" s="3">
        <v>497.8</v>
      </c>
      <c r="R92" s="21">
        <f t="shared" ref="R92:R101" si="41">Q92*2605</f>
        <v>1296769</v>
      </c>
      <c r="S92" s="21">
        <f>S906</f>
        <v>0</v>
      </c>
      <c r="T92" s="21">
        <v>0</v>
      </c>
      <c r="U92" s="21">
        <v>200000</v>
      </c>
    </row>
    <row r="93" spans="1:22" ht="21.95" customHeight="1">
      <c r="A93" s="19" t="s">
        <v>1643</v>
      </c>
      <c r="B93" s="26" t="s">
        <v>178</v>
      </c>
      <c r="C93" s="1">
        <f t="shared" si="29"/>
        <v>3237322.5</v>
      </c>
      <c r="D93" s="21">
        <f t="shared" si="35"/>
        <v>277725</v>
      </c>
      <c r="E93" s="21">
        <f>350*264.5</f>
        <v>92575</v>
      </c>
      <c r="F93" s="21">
        <f>800*0</f>
        <v>0</v>
      </c>
      <c r="G93" s="21">
        <f>300*264.5</f>
        <v>79350</v>
      </c>
      <c r="H93" s="21">
        <f>500*0</f>
        <v>0</v>
      </c>
      <c r="I93" s="21">
        <f>400*264.5</f>
        <v>105800</v>
      </c>
      <c r="J93" s="21">
        <f t="shared" si="39"/>
        <v>0</v>
      </c>
      <c r="K93" s="40">
        <v>0</v>
      </c>
      <c r="L93" s="21">
        <v>0</v>
      </c>
      <c r="M93" s="21">
        <v>285</v>
      </c>
      <c r="N93" s="21">
        <f t="shared" si="40"/>
        <v>1510500</v>
      </c>
      <c r="O93" s="21">
        <v>0</v>
      </c>
      <c r="P93" s="21">
        <v>0</v>
      </c>
      <c r="Q93" s="21">
        <v>479.5</v>
      </c>
      <c r="R93" s="21">
        <f t="shared" si="41"/>
        <v>1249097.5</v>
      </c>
      <c r="S93" s="21">
        <f>S934</f>
        <v>0</v>
      </c>
      <c r="T93" s="21">
        <v>0</v>
      </c>
      <c r="U93" s="21">
        <v>200000</v>
      </c>
    </row>
    <row r="94" spans="1:22" ht="21.95" customHeight="1">
      <c r="A94" s="19" t="s">
        <v>866</v>
      </c>
      <c r="B94" s="26" t="s">
        <v>857</v>
      </c>
      <c r="C94" s="1">
        <f t="shared" si="29"/>
        <v>300000</v>
      </c>
      <c r="D94" s="21">
        <f t="shared" si="35"/>
        <v>0</v>
      </c>
      <c r="E94" s="21">
        <v>0</v>
      </c>
      <c r="F94" s="21">
        <v>0</v>
      </c>
      <c r="G94" s="21">
        <v>0</v>
      </c>
      <c r="H94" s="21">
        <v>0</v>
      </c>
      <c r="I94" s="21">
        <v>0</v>
      </c>
      <c r="J94" s="21">
        <v>0</v>
      </c>
      <c r="K94" s="40">
        <v>0</v>
      </c>
      <c r="L94" s="21">
        <v>0</v>
      </c>
      <c r="M94" s="21">
        <v>0</v>
      </c>
      <c r="N94" s="21">
        <f t="shared" si="40"/>
        <v>0</v>
      </c>
      <c r="O94" s="21">
        <v>0</v>
      </c>
      <c r="P94" s="21">
        <f>O94*410</f>
        <v>0</v>
      </c>
      <c r="Q94" s="21">
        <v>0</v>
      </c>
      <c r="R94" s="21">
        <f t="shared" si="41"/>
        <v>0</v>
      </c>
      <c r="S94" s="21">
        <v>0</v>
      </c>
      <c r="T94" s="21">
        <v>0</v>
      </c>
      <c r="U94" s="21">
        <v>300000</v>
      </c>
    </row>
    <row r="95" spans="1:22" ht="21.95" customHeight="1">
      <c r="A95" s="19" t="s">
        <v>867</v>
      </c>
      <c r="B95" s="26" t="s">
        <v>179</v>
      </c>
      <c r="C95" s="1">
        <f t="shared" si="29"/>
        <v>6530469.5</v>
      </c>
      <c r="D95" s="21">
        <f t="shared" si="35"/>
        <v>1203795.0000000002</v>
      </c>
      <c r="E95" s="21">
        <f>350*650.7</f>
        <v>227745.00000000003</v>
      </c>
      <c r="F95" s="21">
        <f>800*650.7</f>
        <v>520560.00000000006</v>
      </c>
      <c r="G95" s="21">
        <f>300*650.7</f>
        <v>195210</v>
      </c>
      <c r="H95" s="21">
        <f>500*0</f>
        <v>0</v>
      </c>
      <c r="I95" s="21">
        <f>400*650.7</f>
        <v>260280.00000000003</v>
      </c>
      <c r="J95" s="21">
        <f t="shared" ref="J95:J96" si="42">350*0</f>
        <v>0</v>
      </c>
      <c r="K95" s="40">
        <v>0</v>
      </c>
      <c r="L95" s="21">
        <v>0</v>
      </c>
      <c r="M95" s="21">
        <v>669</v>
      </c>
      <c r="N95" s="21">
        <f t="shared" si="40"/>
        <v>3545700</v>
      </c>
      <c r="O95" s="21">
        <v>0</v>
      </c>
      <c r="P95" s="21">
        <v>0</v>
      </c>
      <c r="Q95" s="21">
        <v>606.9</v>
      </c>
      <c r="R95" s="21">
        <f t="shared" si="41"/>
        <v>1580974.5</v>
      </c>
      <c r="S95" s="21">
        <f>S935</f>
        <v>0</v>
      </c>
      <c r="T95" s="21">
        <v>0</v>
      </c>
      <c r="U95" s="21">
        <v>200000</v>
      </c>
    </row>
    <row r="96" spans="1:22" ht="21.95" customHeight="1">
      <c r="A96" s="19" t="s">
        <v>1644</v>
      </c>
      <c r="B96" s="26" t="s">
        <v>180</v>
      </c>
      <c r="C96" s="1">
        <f t="shared" si="29"/>
        <v>8940213</v>
      </c>
      <c r="D96" s="21">
        <f t="shared" si="35"/>
        <v>1587670</v>
      </c>
      <c r="E96" s="21">
        <f>350*858.2</f>
        <v>300370</v>
      </c>
      <c r="F96" s="21">
        <f>800*858.2</f>
        <v>686560</v>
      </c>
      <c r="G96" s="21">
        <f>300*858.2</f>
        <v>257460</v>
      </c>
      <c r="H96" s="21">
        <f>500*0</f>
        <v>0</v>
      </c>
      <c r="I96" s="21">
        <f>400*858.2</f>
        <v>343280</v>
      </c>
      <c r="J96" s="21">
        <f t="shared" si="42"/>
        <v>0</v>
      </c>
      <c r="K96" s="40">
        <v>0</v>
      </c>
      <c r="L96" s="21">
        <v>0</v>
      </c>
      <c r="M96" s="21">
        <v>958</v>
      </c>
      <c r="N96" s="21">
        <f t="shared" si="40"/>
        <v>5077400</v>
      </c>
      <c r="O96" s="21">
        <v>0</v>
      </c>
      <c r="P96" s="21">
        <f>O96*410</f>
        <v>0</v>
      </c>
      <c r="Q96" s="21">
        <v>796.6</v>
      </c>
      <c r="R96" s="21">
        <f t="shared" si="41"/>
        <v>2075143</v>
      </c>
      <c r="S96" s="21">
        <f>S936</f>
        <v>0</v>
      </c>
      <c r="T96" s="21">
        <v>0</v>
      </c>
      <c r="U96" s="21">
        <v>200000</v>
      </c>
    </row>
    <row r="97" spans="1:22" ht="21.95" customHeight="1">
      <c r="A97" s="19" t="s">
        <v>868</v>
      </c>
      <c r="B97" s="26" t="s">
        <v>181</v>
      </c>
      <c r="C97" s="1">
        <f t="shared" si="29"/>
        <v>300000</v>
      </c>
      <c r="D97" s="21">
        <f t="shared" si="35"/>
        <v>0</v>
      </c>
      <c r="E97" s="21">
        <v>0</v>
      </c>
      <c r="F97" s="21">
        <v>0</v>
      </c>
      <c r="G97" s="21">
        <v>0</v>
      </c>
      <c r="H97" s="21">
        <v>0</v>
      </c>
      <c r="I97" s="21">
        <v>0</v>
      </c>
      <c r="J97" s="21">
        <v>0</v>
      </c>
      <c r="K97" s="40">
        <v>0</v>
      </c>
      <c r="L97" s="21">
        <v>0</v>
      </c>
      <c r="M97" s="21">
        <v>0</v>
      </c>
      <c r="N97" s="21">
        <v>0</v>
      </c>
      <c r="O97" s="21">
        <v>0</v>
      </c>
      <c r="P97" s="21">
        <f>O97*410</f>
        <v>0</v>
      </c>
      <c r="Q97" s="21">
        <v>0</v>
      </c>
      <c r="R97" s="21">
        <f t="shared" si="41"/>
        <v>0</v>
      </c>
      <c r="S97" s="21">
        <v>0</v>
      </c>
      <c r="T97" s="21">
        <v>0</v>
      </c>
      <c r="U97" s="21">
        <v>300000</v>
      </c>
    </row>
    <row r="98" spans="1:22" ht="21.95" customHeight="1">
      <c r="A98" s="19" t="s">
        <v>869</v>
      </c>
      <c r="B98" s="26" t="s">
        <v>182</v>
      </c>
      <c r="C98" s="1">
        <f t="shared" si="29"/>
        <v>4375705.5</v>
      </c>
      <c r="D98" s="21">
        <f t="shared" si="35"/>
        <v>737040</v>
      </c>
      <c r="E98" s="21">
        <f>350*398.4</f>
        <v>139440</v>
      </c>
      <c r="F98" s="21">
        <f>800*398.4</f>
        <v>318720</v>
      </c>
      <c r="G98" s="21">
        <f>300*398.4</f>
        <v>119520</v>
      </c>
      <c r="H98" s="21">
        <f>500*0</f>
        <v>0</v>
      </c>
      <c r="I98" s="21">
        <f>400*398.4</f>
        <v>159360</v>
      </c>
      <c r="J98" s="21">
        <f t="shared" ref="J98:J99" si="43">350*0</f>
        <v>0</v>
      </c>
      <c r="K98" s="40">
        <v>0</v>
      </c>
      <c r="L98" s="21">
        <v>0</v>
      </c>
      <c r="M98" s="21">
        <v>432</v>
      </c>
      <c r="N98" s="21">
        <f t="shared" si="40"/>
        <v>2289600</v>
      </c>
      <c r="O98" s="21">
        <v>0</v>
      </c>
      <c r="P98" s="21">
        <v>0</v>
      </c>
      <c r="Q98" s="21">
        <v>441.1</v>
      </c>
      <c r="R98" s="21">
        <f t="shared" si="41"/>
        <v>1149065.5</v>
      </c>
      <c r="S98" s="21">
        <v>0</v>
      </c>
      <c r="T98" s="21">
        <v>0</v>
      </c>
      <c r="U98" s="21">
        <v>200000</v>
      </c>
    </row>
    <row r="99" spans="1:22" ht="21.95" customHeight="1">
      <c r="A99" s="19" t="s">
        <v>870</v>
      </c>
      <c r="B99" s="26" t="s">
        <v>183</v>
      </c>
      <c r="C99" s="1">
        <f t="shared" si="29"/>
        <v>4516700</v>
      </c>
      <c r="D99" s="21">
        <f t="shared" si="35"/>
        <v>757945</v>
      </c>
      <c r="E99" s="21">
        <f>350*409.7</f>
        <v>143395</v>
      </c>
      <c r="F99" s="21">
        <f>800*409.7</f>
        <v>327760</v>
      </c>
      <c r="G99" s="21">
        <f>300*409.7</f>
        <v>122910</v>
      </c>
      <c r="H99" s="21">
        <f>500*0</f>
        <v>0</v>
      </c>
      <c r="I99" s="21">
        <f>400*409.7</f>
        <v>163880</v>
      </c>
      <c r="J99" s="21">
        <f t="shared" si="43"/>
        <v>0</v>
      </c>
      <c r="K99" s="40">
        <v>0</v>
      </c>
      <c r="L99" s="21">
        <v>0</v>
      </c>
      <c r="M99" s="21">
        <v>374.1</v>
      </c>
      <c r="N99" s="21">
        <f t="shared" si="40"/>
        <v>1982730.0000000002</v>
      </c>
      <c r="O99" s="21">
        <v>0</v>
      </c>
      <c r="P99" s="21">
        <v>0</v>
      </c>
      <c r="Q99" s="21">
        <v>605</v>
      </c>
      <c r="R99" s="21">
        <f t="shared" si="41"/>
        <v>1576025</v>
      </c>
      <c r="S99" s="21">
        <f>S895</f>
        <v>0</v>
      </c>
      <c r="T99" s="21">
        <v>0</v>
      </c>
      <c r="U99" s="21">
        <v>200000</v>
      </c>
    </row>
    <row r="100" spans="1:22" ht="21.95" customHeight="1">
      <c r="A100" s="19" t="s">
        <v>871</v>
      </c>
      <c r="B100" s="28" t="s">
        <v>184</v>
      </c>
      <c r="C100" s="1">
        <f t="shared" si="29"/>
        <v>300000</v>
      </c>
      <c r="D100" s="21">
        <f t="shared" si="35"/>
        <v>0</v>
      </c>
      <c r="E100" s="21">
        <v>0</v>
      </c>
      <c r="F100" s="21">
        <v>0</v>
      </c>
      <c r="G100" s="21">
        <v>0</v>
      </c>
      <c r="H100" s="21">
        <v>0</v>
      </c>
      <c r="I100" s="21">
        <v>0</v>
      </c>
      <c r="J100" s="21">
        <v>0</v>
      </c>
      <c r="K100" s="40">
        <v>0</v>
      </c>
      <c r="L100" s="21">
        <v>0</v>
      </c>
      <c r="M100" s="21">
        <v>0</v>
      </c>
      <c r="N100" s="21">
        <f t="shared" si="40"/>
        <v>0</v>
      </c>
      <c r="O100" s="21">
        <v>0</v>
      </c>
      <c r="P100" s="21">
        <v>0</v>
      </c>
      <c r="Q100" s="21">
        <v>0</v>
      </c>
      <c r="R100" s="21">
        <f t="shared" si="41"/>
        <v>0</v>
      </c>
      <c r="S100" s="21">
        <f>S896</f>
        <v>0</v>
      </c>
      <c r="T100" s="21">
        <v>0</v>
      </c>
      <c r="U100" s="21">
        <v>300000</v>
      </c>
    </row>
    <row r="101" spans="1:22" ht="21.95" customHeight="1">
      <c r="A101" s="19" t="s">
        <v>1645</v>
      </c>
      <c r="B101" s="28" t="s">
        <v>185</v>
      </c>
      <c r="C101" s="1">
        <f t="shared" si="29"/>
        <v>300000</v>
      </c>
      <c r="D101" s="21">
        <f t="shared" si="35"/>
        <v>0</v>
      </c>
      <c r="E101" s="21">
        <v>0</v>
      </c>
      <c r="F101" s="21">
        <v>0</v>
      </c>
      <c r="G101" s="21">
        <v>0</v>
      </c>
      <c r="H101" s="21">
        <v>0</v>
      </c>
      <c r="I101" s="21">
        <v>0</v>
      </c>
      <c r="J101" s="21">
        <v>0</v>
      </c>
      <c r="K101" s="40">
        <v>0</v>
      </c>
      <c r="L101" s="21">
        <v>0</v>
      </c>
      <c r="M101" s="21">
        <v>0</v>
      </c>
      <c r="N101" s="21">
        <f t="shared" si="40"/>
        <v>0</v>
      </c>
      <c r="O101" s="21">
        <v>0</v>
      </c>
      <c r="P101" s="21">
        <v>0</v>
      </c>
      <c r="Q101" s="21">
        <v>0</v>
      </c>
      <c r="R101" s="21">
        <f t="shared" si="41"/>
        <v>0</v>
      </c>
      <c r="S101" s="21">
        <f>S897</f>
        <v>0</v>
      </c>
      <c r="T101" s="21">
        <v>0</v>
      </c>
      <c r="U101" s="21">
        <v>300000</v>
      </c>
    </row>
    <row r="102" spans="1:22" ht="21.95" customHeight="1">
      <c r="A102" s="19" t="s">
        <v>1646</v>
      </c>
      <c r="B102" s="24" t="s">
        <v>1550</v>
      </c>
      <c r="C102" s="1">
        <f t="shared" si="29"/>
        <v>6242020</v>
      </c>
      <c r="D102" s="21">
        <f t="shared" si="35"/>
        <v>0</v>
      </c>
      <c r="E102" s="21">
        <v>0</v>
      </c>
      <c r="F102" s="21">
        <v>0</v>
      </c>
      <c r="G102" s="21">
        <v>0</v>
      </c>
      <c r="H102" s="21">
        <v>0</v>
      </c>
      <c r="I102" s="21">
        <v>0</v>
      </c>
      <c r="J102" s="21">
        <v>0</v>
      </c>
      <c r="K102" s="40">
        <v>0</v>
      </c>
      <c r="L102" s="21">
        <v>0</v>
      </c>
      <c r="M102" s="3">
        <v>1083.4000000000001</v>
      </c>
      <c r="N102" s="3">
        <v>5742020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500000</v>
      </c>
    </row>
    <row r="103" spans="1:22" ht="45" customHeight="1">
      <c r="A103" s="55" t="s">
        <v>229</v>
      </c>
      <c r="B103" s="55"/>
      <c r="C103" s="1">
        <f t="shared" si="29"/>
        <v>3611701</v>
      </c>
      <c r="D103" s="1">
        <f t="shared" ref="D103:U103" si="44">SUM(D104:D105)</f>
        <v>763750</v>
      </c>
      <c r="E103" s="1">
        <f t="shared" si="44"/>
        <v>113750</v>
      </c>
      <c r="F103" s="1">
        <f t="shared" si="44"/>
        <v>260000</v>
      </c>
      <c r="G103" s="1">
        <f t="shared" si="44"/>
        <v>97500</v>
      </c>
      <c r="H103" s="1">
        <f t="shared" si="44"/>
        <v>162500</v>
      </c>
      <c r="I103" s="1">
        <f t="shared" si="44"/>
        <v>130000</v>
      </c>
      <c r="J103" s="1">
        <f t="shared" si="44"/>
        <v>0</v>
      </c>
      <c r="K103" s="42">
        <f t="shared" si="44"/>
        <v>0</v>
      </c>
      <c r="L103" s="1">
        <f t="shared" si="44"/>
        <v>0</v>
      </c>
      <c r="M103" s="1">
        <f t="shared" si="44"/>
        <v>246</v>
      </c>
      <c r="N103" s="1">
        <f t="shared" si="44"/>
        <v>1303800</v>
      </c>
      <c r="O103" s="1">
        <f t="shared" si="44"/>
        <v>0</v>
      </c>
      <c r="P103" s="1">
        <f t="shared" si="44"/>
        <v>0</v>
      </c>
      <c r="Q103" s="1">
        <f t="shared" si="44"/>
        <v>430.2</v>
      </c>
      <c r="R103" s="1">
        <f t="shared" si="44"/>
        <v>1120671</v>
      </c>
      <c r="S103" s="1">
        <f t="shared" si="44"/>
        <v>123480</v>
      </c>
      <c r="T103" s="1">
        <f t="shared" si="44"/>
        <v>0</v>
      </c>
      <c r="U103" s="1">
        <f t="shared" si="44"/>
        <v>300000</v>
      </c>
      <c r="V103" s="13">
        <f>C103+C467</f>
        <v>7149295.1500000004</v>
      </c>
    </row>
    <row r="104" spans="1:22" ht="20.100000000000001" customHeight="1">
      <c r="A104" s="19" t="s">
        <v>1647</v>
      </c>
      <c r="B104" s="24" t="s">
        <v>230</v>
      </c>
      <c r="C104" s="1">
        <f t="shared" si="29"/>
        <v>3311701</v>
      </c>
      <c r="D104" s="21">
        <f t="shared" ref="D104:D105" si="45">SUM(E104:J104)</f>
        <v>763750</v>
      </c>
      <c r="E104" s="21">
        <f>350*325</f>
        <v>113750</v>
      </c>
      <c r="F104" s="21">
        <f>800*325</f>
        <v>260000</v>
      </c>
      <c r="G104" s="21">
        <f>300*325</f>
        <v>97500</v>
      </c>
      <c r="H104" s="21">
        <f>500*325</f>
        <v>162500</v>
      </c>
      <c r="I104" s="21">
        <f>400*325</f>
        <v>130000</v>
      </c>
      <c r="J104" s="21">
        <f>350*0</f>
        <v>0</v>
      </c>
      <c r="K104" s="40">
        <v>0</v>
      </c>
      <c r="L104" s="21">
        <v>0</v>
      </c>
      <c r="M104" s="21">
        <v>246</v>
      </c>
      <c r="N104" s="21">
        <v>1303800</v>
      </c>
      <c r="O104" s="21">
        <v>0</v>
      </c>
      <c r="P104" s="21">
        <v>0</v>
      </c>
      <c r="Q104" s="21">
        <v>430.2</v>
      </c>
      <c r="R104" s="21">
        <v>1120671</v>
      </c>
      <c r="S104" s="21">
        <v>123480</v>
      </c>
      <c r="T104" s="21">
        <v>0</v>
      </c>
      <c r="U104" s="21">
        <v>0</v>
      </c>
    </row>
    <row r="105" spans="1:22" ht="20.100000000000001" customHeight="1">
      <c r="A105" s="19" t="s">
        <v>872</v>
      </c>
      <c r="B105" s="24" t="s">
        <v>231</v>
      </c>
      <c r="C105" s="1">
        <f t="shared" si="29"/>
        <v>300000</v>
      </c>
      <c r="D105" s="21">
        <f t="shared" si="45"/>
        <v>0</v>
      </c>
      <c r="E105" s="21">
        <v>0</v>
      </c>
      <c r="F105" s="21">
        <v>0</v>
      </c>
      <c r="G105" s="21">
        <v>0</v>
      </c>
      <c r="H105" s="21">
        <v>0</v>
      </c>
      <c r="I105" s="21">
        <v>0</v>
      </c>
      <c r="J105" s="21">
        <v>0</v>
      </c>
      <c r="K105" s="40">
        <v>0</v>
      </c>
      <c r="L105" s="21">
        <v>0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300000</v>
      </c>
    </row>
    <row r="106" spans="1:22" ht="45" customHeight="1">
      <c r="A106" s="55" t="s">
        <v>228</v>
      </c>
      <c r="B106" s="55"/>
      <c r="C106" s="1">
        <f t="shared" si="29"/>
        <v>7327769.2000000002</v>
      </c>
      <c r="D106" s="1">
        <f t="shared" ref="D106:U106" si="46">SUM(D107:D112)</f>
        <v>313005</v>
      </c>
      <c r="E106" s="1">
        <f t="shared" si="46"/>
        <v>313005</v>
      </c>
      <c r="F106" s="1">
        <f t="shared" si="46"/>
        <v>0</v>
      </c>
      <c r="G106" s="1">
        <f t="shared" si="46"/>
        <v>0</v>
      </c>
      <c r="H106" s="1">
        <f t="shared" si="46"/>
        <v>0</v>
      </c>
      <c r="I106" s="1">
        <f t="shared" si="46"/>
        <v>0</v>
      </c>
      <c r="J106" s="1">
        <f t="shared" si="46"/>
        <v>0</v>
      </c>
      <c r="K106" s="42">
        <f t="shared" si="46"/>
        <v>0</v>
      </c>
      <c r="L106" s="1">
        <f t="shared" si="46"/>
        <v>0</v>
      </c>
      <c r="M106" s="1">
        <f t="shared" si="46"/>
        <v>401.11</v>
      </c>
      <c r="N106" s="1">
        <f t="shared" si="46"/>
        <v>2125884</v>
      </c>
      <c r="O106" s="1">
        <f t="shared" si="46"/>
        <v>0</v>
      </c>
      <c r="P106" s="1">
        <f t="shared" si="46"/>
        <v>0</v>
      </c>
      <c r="Q106" s="1">
        <f t="shared" si="46"/>
        <v>1587.96</v>
      </c>
      <c r="R106" s="1">
        <f t="shared" si="46"/>
        <v>3988880.2</v>
      </c>
      <c r="S106" s="1">
        <f t="shared" si="46"/>
        <v>0</v>
      </c>
      <c r="T106" s="1">
        <f t="shared" si="46"/>
        <v>0</v>
      </c>
      <c r="U106" s="1">
        <f t="shared" si="46"/>
        <v>900000</v>
      </c>
      <c r="V106" s="13">
        <f>C106+C469+C870</f>
        <v>51441106.399999999</v>
      </c>
    </row>
    <row r="107" spans="1:22" ht="21.95" customHeight="1">
      <c r="A107" s="19" t="s">
        <v>873</v>
      </c>
      <c r="B107" s="24" t="s">
        <v>219</v>
      </c>
      <c r="C107" s="1">
        <f t="shared" si="29"/>
        <v>300000</v>
      </c>
      <c r="D107" s="21">
        <f t="shared" ref="D107:D112" si="47">SUM(E107:J107)</f>
        <v>0</v>
      </c>
      <c r="E107" s="21">
        <v>0</v>
      </c>
      <c r="F107" s="21">
        <v>0</v>
      </c>
      <c r="G107" s="21">
        <v>0</v>
      </c>
      <c r="H107" s="21">
        <v>0</v>
      </c>
      <c r="I107" s="21">
        <v>0</v>
      </c>
      <c r="J107" s="21">
        <v>0</v>
      </c>
      <c r="K107" s="40">
        <v>0</v>
      </c>
      <c r="L107" s="21">
        <v>0</v>
      </c>
      <c r="M107" s="3">
        <v>0</v>
      </c>
      <c r="N107" s="3">
        <v>0</v>
      </c>
      <c r="O107" s="21">
        <v>0</v>
      </c>
      <c r="P107" s="21">
        <v>0</v>
      </c>
      <c r="Q107" s="21">
        <v>0</v>
      </c>
      <c r="R107" s="21">
        <v>0</v>
      </c>
      <c r="S107" s="21">
        <v>0</v>
      </c>
      <c r="T107" s="21">
        <v>0</v>
      </c>
      <c r="U107" s="21">
        <v>300000</v>
      </c>
    </row>
    <row r="108" spans="1:22" ht="21.95" customHeight="1">
      <c r="A108" s="19" t="s">
        <v>1648</v>
      </c>
      <c r="B108" s="24" t="s">
        <v>222</v>
      </c>
      <c r="C108" s="1">
        <f t="shared" si="29"/>
        <v>300000</v>
      </c>
      <c r="D108" s="21">
        <f t="shared" si="47"/>
        <v>0</v>
      </c>
      <c r="E108" s="21">
        <v>0</v>
      </c>
      <c r="F108" s="21">
        <v>0</v>
      </c>
      <c r="G108" s="21">
        <v>0</v>
      </c>
      <c r="H108" s="21">
        <v>0</v>
      </c>
      <c r="I108" s="21">
        <v>0</v>
      </c>
      <c r="J108" s="21">
        <v>0</v>
      </c>
      <c r="K108" s="40">
        <v>0</v>
      </c>
      <c r="L108" s="21">
        <v>0</v>
      </c>
      <c r="M108" s="21">
        <v>0</v>
      </c>
      <c r="N108" s="21">
        <v>0</v>
      </c>
      <c r="O108" s="21">
        <v>0</v>
      </c>
      <c r="P108" s="21">
        <v>0</v>
      </c>
      <c r="Q108" s="21">
        <v>0</v>
      </c>
      <c r="R108" s="21">
        <v>0</v>
      </c>
      <c r="S108" s="21">
        <v>0</v>
      </c>
      <c r="T108" s="21">
        <v>0</v>
      </c>
      <c r="U108" s="21">
        <v>300000</v>
      </c>
    </row>
    <row r="109" spans="1:22" ht="21.95" customHeight="1">
      <c r="A109" s="19" t="s">
        <v>874</v>
      </c>
      <c r="B109" s="24" t="s">
        <v>1565</v>
      </c>
      <c r="C109" s="1">
        <f t="shared" si="29"/>
        <v>1368354.4</v>
      </c>
      <c r="D109" s="21">
        <f t="shared" si="47"/>
        <v>0</v>
      </c>
      <c r="E109" s="21">
        <v>0</v>
      </c>
      <c r="F109" s="21">
        <v>0</v>
      </c>
      <c r="G109" s="21">
        <v>0</v>
      </c>
      <c r="H109" s="21">
        <v>0</v>
      </c>
      <c r="I109" s="21">
        <v>0</v>
      </c>
      <c r="J109" s="21">
        <v>0</v>
      </c>
      <c r="K109" s="40">
        <v>0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582</v>
      </c>
      <c r="R109" s="21">
        <v>1368354.4</v>
      </c>
      <c r="S109" s="21">
        <v>0</v>
      </c>
      <c r="T109" s="21">
        <v>0</v>
      </c>
      <c r="U109" s="21">
        <v>0</v>
      </c>
    </row>
    <row r="110" spans="1:22" ht="21.95" customHeight="1">
      <c r="A110" s="19" t="s">
        <v>1649</v>
      </c>
      <c r="B110" s="24" t="s">
        <v>223</v>
      </c>
      <c r="C110" s="1">
        <f t="shared" si="29"/>
        <v>300000</v>
      </c>
      <c r="D110" s="21">
        <f t="shared" si="47"/>
        <v>0</v>
      </c>
      <c r="E110" s="21">
        <v>0</v>
      </c>
      <c r="F110" s="21">
        <v>0</v>
      </c>
      <c r="G110" s="21">
        <v>0</v>
      </c>
      <c r="H110" s="21">
        <v>0</v>
      </c>
      <c r="I110" s="21">
        <v>0</v>
      </c>
      <c r="J110" s="21">
        <v>0</v>
      </c>
      <c r="K110" s="40">
        <v>0</v>
      </c>
      <c r="L110" s="21">
        <v>0</v>
      </c>
      <c r="M110" s="21">
        <v>0</v>
      </c>
      <c r="N110" s="21">
        <v>0</v>
      </c>
      <c r="O110" s="21">
        <v>0</v>
      </c>
      <c r="P110" s="21">
        <v>0</v>
      </c>
      <c r="Q110" s="21">
        <v>0</v>
      </c>
      <c r="R110" s="21">
        <v>0</v>
      </c>
      <c r="S110" s="21">
        <v>0</v>
      </c>
      <c r="T110" s="21">
        <v>0</v>
      </c>
      <c r="U110" s="21">
        <v>300000</v>
      </c>
    </row>
    <row r="111" spans="1:22" ht="21.95" customHeight="1">
      <c r="A111" s="19" t="s">
        <v>1650</v>
      </c>
      <c r="B111" s="24" t="s">
        <v>1566</v>
      </c>
      <c r="C111" s="1">
        <f t="shared" si="29"/>
        <v>3687459</v>
      </c>
      <c r="D111" s="21">
        <f t="shared" si="47"/>
        <v>154875</v>
      </c>
      <c r="E111" s="21">
        <f>350*442.5</f>
        <v>154875</v>
      </c>
      <c r="F111" s="21">
        <f>800*0</f>
        <v>0</v>
      </c>
      <c r="G111" s="21">
        <f>300*0</f>
        <v>0</v>
      </c>
      <c r="H111" s="21">
        <f>500*0</f>
        <v>0</v>
      </c>
      <c r="I111" s="21">
        <f>400*0</f>
        <v>0</v>
      </c>
      <c r="J111" s="21">
        <f>350*0</f>
        <v>0</v>
      </c>
      <c r="K111" s="40">
        <v>0</v>
      </c>
      <c r="L111" s="21">
        <v>0</v>
      </c>
      <c r="M111" s="3">
        <v>401.11</v>
      </c>
      <c r="N111" s="3">
        <v>2125884</v>
      </c>
      <c r="O111" s="21">
        <v>0</v>
      </c>
      <c r="P111" s="21">
        <v>0</v>
      </c>
      <c r="Q111" s="21">
        <v>540</v>
      </c>
      <c r="R111" s="21">
        <v>1406700</v>
      </c>
      <c r="S111" s="21">
        <v>0</v>
      </c>
      <c r="T111" s="21">
        <v>0</v>
      </c>
      <c r="U111" s="21">
        <v>0</v>
      </c>
    </row>
    <row r="112" spans="1:22" ht="21.95" customHeight="1">
      <c r="A112" s="19" t="s">
        <v>1651</v>
      </c>
      <c r="B112" s="24" t="s">
        <v>1567</v>
      </c>
      <c r="C112" s="1">
        <f t="shared" si="29"/>
        <v>1371955.8</v>
      </c>
      <c r="D112" s="21">
        <f t="shared" si="47"/>
        <v>158130</v>
      </c>
      <c r="E112" s="21">
        <f>350*451.8</f>
        <v>158130</v>
      </c>
      <c r="F112" s="21">
        <f>800*0</f>
        <v>0</v>
      </c>
      <c r="G112" s="21">
        <f>300*0</f>
        <v>0</v>
      </c>
      <c r="H112" s="21">
        <f>500*0</f>
        <v>0</v>
      </c>
      <c r="I112" s="21">
        <f>400*0</f>
        <v>0</v>
      </c>
      <c r="J112" s="21">
        <f>350*0</f>
        <v>0</v>
      </c>
      <c r="K112" s="40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3">
        <v>465.96</v>
      </c>
      <c r="R112" s="3">
        <v>1213825.8</v>
      </c>
      <c r="S112" s="21">
        <v>0</v>
      </c>
      <c r="T112" s="21">
        <v>0</v>
      </c>
      <c r="U112" s="21">
        <v>0</v>
      </c>
    </row>
    <row r="113" spans="1:22" ht="45" customHeight="1">
      <c r="A113" s="55" t="s">
        <v>232</v>
      </c>
      <c r="B113" s="55"/>
      <c r="C113" s="1">
        <f t="shared" si="29"/>
        <v>13985325</v>
      </c>
      <c r="D113" s="1">
        <f t="shared" ref="D113:U113" si="48">SUM(D114:D120)</f>
        <v>3810290</v>
      </c>
      <c r="E113" s="1">
        <f t="shared" si="48"/>
        <v>567490</v>
      </c>
      <c r="F113" s="1">
        <f t="shared" si="48"/>
        <v>1297120</v>
      </c>
      <c r="G113" s="1">
        <f t="shared" si="48"/>
        <v>486420</v>
      </c>
      <c r="H113" s="1">
        <f t="shared" si="48"/>
        <v>810700</v>
      </c>
      <c r="I113" s="1">
        <f t="shared" si="48"/>
        <v>648560</v>
      </c>
      <c r="J113" s="1">
        <f t="shared" si="48"/>
        <v>0</v>
      </c>
      <c r="K113" s="42">
        <f t="shared" si="48"/>
        <v>0</v>
      </c>
      <c r="L113" s="1">
        <f t="shared" si="48"/>
        <v>0</v>
      </c>
      <c r="M113" s="1">
        <f t="shared" si="48"/>
        <v>1657</v>
      </c>
      <c r="N113" s="1">
        <f t="shared" si="48"/>
        <v>6488100</v>
      </c>
      <c r="O113" s="1">
        <f t="shared" si="48"/>
        <v>0</v>
      </c>
      <c r="P113" s="1">
        <f t="shared" si="48"/>
        <v>0</v>
      </c>
      <c r="Q113" s="1">
        <f t="shared" si="48"/>
        <v>692</v>
      </c>
      <c r="R113" s="1">
        <f t="shared" si="48"/>
        <v>1802660</v>
      </c>
      <c r="S113" s="1">
        <f t="shared" si="48"/>
        <v>184275</v>
      </c>
      <c r="T113" s="1">
        <f t="shared" si="48"/>
        <v>0</v>
      </c>
      <c r="U113" s="1">
        <f t="shared" si="48"/>
        <v>1700000</v>
      </c>
      <c r="V113" s="13">
        <f>C113+C479+C874</f>
        <v>52234763.700000003</v>
      </c>
    </row>
    <row r="114" spans="1:22" ht="21.95" customHeight="1">
      <c r="A114" s="19" t="s">
        <v>1652</v>
      </c>
      <c r="B114" s="24" t="s">
        <v>235</v>
      </c>
      <c r="C114" s="1">
        <f t="shared" si="29"/>
        <v>2748375</v>
      </c>
      <c r="D114" s="21">
        <f t="shared" ref="D114:D120" si="49">SUM(E114:J114)</f>
        <v>2364100</v>
      </c>
      <c r="E114" s="21">
        <f>350*1006</f>
        <v>352100</v>
      </c>
      <c r="F114" s="21">
        <f>800*1006</f>
        <v>804800</v>
      </c>
      <c r="G114" s="21">
        <f>300*1006</f>
        <v>301800</v>
      </c>
      <c r="H114" s="21">
        <f>500*1006</f>
        <v>503000</v>
      </c>
      <c r="I114" s="21">
        <f>400*1006</f>
        <v>402400</v>
      </c>
      <c r="J114" s="21">
        <f>350*0</f>
        <v>0</v>
      </c>
      <c r="K114" s="40">
        <v>0</v>
      </c>
      <c r="L114" s="21">
        <v>0</v>
      </c>
      <c r="M114" s="21">
        <v>0</v>
      </c>
      <c r="N114" s="21">
        <v>0</v>
      </c>
      <c r="O114" s="21">
        <v>0</v>
      </c>
      <c r="P114" s="21">
        <v>0</v>
      </c>
      <c r="Q114" s="21">
        <v>0</v>
      </c>
      <c r="R114" s="21">
        <v>0</v>
      </c>
      <c r="S114" s="21">
        <v>184275</v>
      </c>
      <c r="T114" s="21">
        <v>0</v>
      </c>
      <c r="U114" s="21">
        <v>200000</v>
      </c>
    </row>
    <row r="115" spans="1:22" ht="21.95" customHeight="1">
      <c r="A115" s="19" t="s">
        <v>875</v>
      </c>
      <c r="B115" s="24" t="s">
        <v>237</v>
      </c>
      <c r="C115" s="1">
        <f t="shared" si="29"/>
        <v>3985100</v>
      </c>
      <c r="D115" s="21">
        <f t="shared" si="49"/>
        <v>0</v>
      </c>
      <c r="E115" s="21">
        <v>0</v>
      </c>
      <c r="F115" s="21">
        <v>0</v>
      </c>
      <c r="G115" s="21">
        <v>0</v>
      </c>
      <c r="H115" s="21">
        <v>0</v>
      </c>
      <c r="I115" s="21">
        <v>0</v>
      </c>
      <c r="J115" s="21">
        <v>0</v>
      </c>
      <c r="K115" s="40">
        <v>0</v>
      </c>
      <c r="L115" s="21">
        <v>0</v>
      </c>
      <c r="M115" s="21">
        <v>1147</v>
      </c>
      <c r="N115" s="21">
        <f>M115*3300</f>
        <v>3785100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200000</v>
      </c>
    </row>
    <row r="116" spans="1:22" ht="21.95" customHeight="1">
      <c r="A116" s="19" t="s">
        <v>876</v>
      </c>
      <c r="B116" s="24" t="s">
        <v>238</v>
      </c>
      <c r="C116" s="1">
        <f t="shared" si="29"/>
        <v>1646190</v>
      </c>
      <c r="D116" s="21">
        <f t="shared" si="49"/>
        <v>1446190</v>
      </c>
      <c r="E116" s="21">
        <f>350*615.4</f>
        <v>215390</v>
      </c>
      <c r="F116" s="21">
        <f>800*615.4</f>
        <v>492320</v>
      </c>
      <c r="G116" s="21">
        <f>300*615.4</f>
        <v>184620</v>
      </c>
      <c r="H116" s="21">
        <f>500*615.4</f>
        <v>307700</v>
      </c>
      <c r="I116" s="21">
        <f>400*615.4</f>
        <v>246160</v>
      </c>
      <c r="J116" s="21">
        <f>350*0</f>
        <v>0</v>
      </c>
      <c r="K116" s="40">
        <v>0</v>
      </c>
      <c r="L116" s="21">
        <v>0</v>
      </c>
      <c r="M116" s="21">
        <v>0</v>
      </c>
      <c r="N116" s="21">
        <v>0</v>
      </c>
      <c r="O116" s="21">
        <v>0</v>
      </c>
      <c r="P116" s="21">
        <v>0</v>
      </c>
      <c r="Q116" s="21">
        <v>0</v>
      </c>
      <c r="R116" s="21">
        <v>0</v>
      </c>
      <c r="S116" s="21">
        <v>0</v>
      </c>
      <c r="T116" s="21">
        <v>0</v>
      </c>
      <c r="U116" s="21">
        <v>200000</v>
      </c>
    </row>
    <row r="117" spans="1:22" ht="21.95" customHeight="1">
      <c r="A117" s="19" t="s">
        <v>1653</v>
      </c>
      <c r="B117" s="24" t="s">
        <v>239</v>
      </c>
      <c r="C117" s="1">
        <f t="shared" si="29"/>
        <v>300000</v>
      </c>
      <c r="D117" s="21">
        <f t="shared" si="49"/>
        <v>0</v>
      </c>
      <c r="E117" s="21">
        <v>0</v>
      </c>
      <c r="F117" s="21">
        <v>0</v>
      </c>
      <c r="G117" s="21">
        <v>0</v>
      </c>
      <c r="H117" s="21">
        <v>0</v>
      </c>
      <c r="I117" s="21">
        <v>0</v>
      </c>
      <c r="J117" s="21">
        <v>0</v>
      </c>
      <c r="K117" s="40">
        <v>0</v>
      </c>
      <c r="L117" s="21">
        <v>0</v>
      </c>
      <c r="M117" s="21">
        <v>0</v>
      </c>
      <c r="N117" s="21">
        <v>0</v>
      </c>
      <c r="O117" s="21">
        <v>0</v>
      </c>
      <c r="P117" s="21">
        <v>0</v>
      </c>
      <c r="Q117" s="21">
        <v>0</v>
      </c>
      <c r="R117" s="21">
        <v>0</v>
      </c>
      <c r="S117" s="21">
        <v>0</v>
      </c>
      <c r="T117" s="21">
        <v>0</v>
      </c>
      <c r="U117" s="21">
        <v>300000</v>
      </c>
    </row>
    <row r="118" spans="1:22" ht="21.95" customHeight="1">
      <c r="A118" s="19" t="s">
        <v>877</v>
      </c>
      <c r="B118" s="24" t="s">
        <v>245</v>
      </c>
      <c r="C118" s="1">
        <f t="shared" si="29"/>
        <v>300000</v>
      </c>
      <c r="D118" s="21">
        <f t="shared" si="49"/>
        <v>0</v>
      </c>
      <c r="E118" s="21">
        <v>0</v>
      </c>
      <c r="F118" s="21">
        <v>0</v>
      </c>
      <c r="G118" s="21">
        <v>0</v>
      </c>
      <c r="H118" s="21">
        <v>0</v>
      </c>
      <c r="I118" s="21">
        <v>0</v>
      </c>
      <c r="J118" s="21">
        <v>0</v>
      </c>
      <c r="K118" s="40">
        <v>0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300000</v>
      </c>
    </row>
    <row r="119" spans="1:22" ht="21.95" customHeight="1">
      <c r="A119" s="19" t="s">
        <v>878</v>
      </c>
      <c r="B119" s="24" t="s">
        <v>246</v>
      </c>
      <c r="C119" s="1">
        <f t="shared" si="29"/>
        <v>4705660</v>
      </c>
      <c r="D119" s="21">
        <f t="shared" si="49"/>
        <v>0</v>
      </c>
      <c r="E119" s="21">
        <v>0</v>
      </c>
      <c r="F119" s="21">
        <v>0</v>
      </c>
      <c r="G119" s="21">
        <v>0</v>
      </c>
      <c r="H119" s="21">
        <v>0</v>
      </c>
      <c r="I119" s="21">
        <v>0</v>
      </c>
      <c r="J119" s="21">
        <v>0</v>
      </c>
      <c r="K119" s="40">
        <v>0</v>
      </c>
      <c r="L119" s="21">
        <v>0</v>
      </c>
      <c r="M119" s="21">
        <v>510</v>
      </c>
      <c r="N119" s="21">
        <f>M119*5300</f>
        <v>2703000</v>
      </c>
      <c r="O119" s="21">
        <v>0</v>
      </c>
      <c r="P119" s="21">
        <v>0</v>
      </c>
      <c r="Q119" s="21">
        <v>692</v>
      </c>
      <c r="R119" s="21">
        <v>1802660</v>
      </c>
      <c r="S119" s="21">
        <v>0</v>
      </c>
      <c r="T119" s="21">
        <v>0</v>
      </c>
      <c r="U119" s="21">
        <v>200000</v>
      </c>
    </row>
    <row r="120" spans="1:22" ht="21.95" customHeight="1">
      <c r="A120" s="19" t="s">
        <v>1654</v>
      </c>
      <c r="B120" s="24" t="s">
        <v>247</v>
      </c>
      <c r="C120" s="1">
        <f t="shared" si="29"/>
        <v>300000</v>
      </c>
      <c r="D120" s="21">
        <f t="shared" si="49"/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40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300000</v>
      </c>
    </row>
    <row r="121" spans="1:22" ht="45" customHeight="1">
      <c r="A121" s="55" t="s">
        <v>275</v>
      </c>
      <c r="B121" s="55"/>
      <c r="C121" s="1">
        <f t="shared" si="29"/>
        <v>58864351.5</v>
      </c>
      <c r="D121" s="1">
        <f t="shared" ref="D121:U121" si="50">SUM(D122:D130)</f>
        <v>11805756.5</v>
      </c>
      <c r="E121" s="1">
        <f t="shared" si="50"/>
        <v>2233521.5</v>
      </c>
      <c r="F121" s="1">
        <f t="shared" si="50"/>
        <v>5105192</v>
      </c>
      <c r="G121" s="1">
        <f t="shared" si="50"/>
        <v>1914447</v>
      </c>
      <c r="H121" s="1">
        <f t="shared" si="50"/>
        <v>0</v>
      </c>
      <c r="I121" s="1">
        <f t="shared" si="50"/>
        <v>2552596</v>
      </c>
      <c r="J121" s="1">
        <f t="shared" si="50"/>
        <v>0</v>
      </c>
      <c r="K121" s="42">
        <f t="shared" si="50"/>
        <v>0</v>
      </c>
      <c r="L121" s="1">
        <f t="shared" si="50"/>
        <v>0</v>
      </c>
      <c r="M121" s="1">
        <f t="shared" si="50"/>
        <v>4692.5</v>
      </c>
      <c r="N121" s="1">
        <f t="shared" si="50"/>
        <v>21127250</v>
      </c>
      <c r="O121" s="1">
        <f t="shared" si="50"/>
        <v>1241.1999999999998</v>
      </c>
      <c r="P121" s="1">
        <f t="shared" si="50"/>
        <v>3599480</v>
      </c>
      <c r="Q121" s="1">
        <f t="shared" si="50"/>
        <v>7613</v>
      </c>
      <c r="R121" s="1">
        <f t="shared" si="50"/>
        <v>19831865</v>
      </c>
      <c r="S121" s="1">
        <f t="shared" si="50"/>
        <v>0</v>
      </c>
      <c r="T121" s="1">
        <f t="shared" si="50"/>
        <v>0</v>
      </c>
      <c r="U121" s="1">
        <f t="shared" si="50"/>
        <v>2500000</v>
      </c>
      <c r="V121" s="13">
        <f>C121+C492+C881</f>
        <v>205287787.19999999</v>
      </c>
    </row>
    <row r="122" spans="1:22" ht="21.95" customHeight="1">
      <c r="A122" s="19" t="s">
        <v>1655</v>
      </c>
      <c r="B122" s="29" t="s">
        <v>251</v>
      </c>
      <c r="C122" s="1">
        <f t="shared" si="29"/>
        <v>14347815</v>
      </c>
      <c r="D122" s="21">
        <f t="shared" ref="D122:D130" si="51">SUM(E122:J122)</f>
        <v>3264325</v>
      </c>
      <c r="E122" s="21">
        <f>350*1764.5</f>
        <v>617575</v>
      </c>
      <c r="F122" s="21">
        <f>800*1764.5</f>
        <v>1411600</v>
      </c>
      <c r="G122" s="21">
        <f>300*1764.5</f>
        <v>529350</v>
      </c>
      <c r="H122" s="21">
        <f>500*0</f>
        <v>0</v>
      </c>
      <c r="I122" s="21">
        <f>400*1764.5</f>
        <v>705800</v>
      </c>
      <c r="J122" s="21">
        <f>350*0</f>
        <v>0</v>
      </c>
      <c r="K122" s="40">
        <v>0</v>
      </c>
      <c r="L122" s="21">
        <v>0</v>
      </c>
      <c r="M122" s="21">
        <v>1045</v>
      </c>
      <c r="N122" s="21">
        <f>M122*5300</f>
        <v>5538500</v>
      </c>
      <c r="O122" s="21">
        <v>644.79999999999995</v>
      </c>
      <c r="P122" s="21">
        <v>1869920</v>
      </c>
      <c r="Q122" s="21">
        <v>1334</v>
      </c>
      <c r="R122" s="21">
        <v>3475070</v>
      </c>
      <c r="S122" s="21">
        <v>0</v>
      </c>
      <c r="T122" s="21">
        <v>0</v>
      </c>
      <c r="U122" s="21">
        <v>200000</v>
      </c>
    </row>
    <row r="123" spans="1:22" ht="21.95" customHeight="1">
      <c r="A123" s="19" t="s">
        <v>1656</v>
      </c>
      <c r="B123" s="29" t="s">
        <v>252</v>
      </c>
      <c r="C123" s="1">
        <f t="shared" si="29"/>
        <v>12788505</v>
      </c>
      <c r="D123" s="21">
        <f t="shared" si="51"/>
        <v>2663630</v>
      </c>
      <c r="E123" s="21">
        <f>350*1439.8</f>
        <v>503930</v>
      </c>
      <c r="F123" s="21">
        <f>800*1439.8</f>
        <v>1151840</v>
      </c>
      <c r="G123" s="21">
        <f>300*1439.8</f>
        <v>431940</v>
      </c>
      <c r="H123" s="21">
        <f>500*0</f>
        <v>0</v>
      </c>
      <c r="I123" s="21">
        <f>400*1439.8</f>
        <v>575920</v>
      </c>
      <c r="J123" s="21">
        <f>350*0</f>
        <v>0</v>
      </c>
      <c r="K123" s="40">
        <v>0</v>
      </c>
      <c r="L123" s="21">
        <v>0</v>
      </c>
      <c r="M123" s="21">
        <v>877</v>
      </c>
      <c r="N123" s="21">
        <f>M123*5300</f>
        <v>4648100</v>
      </c>
      <c r="O123" s="21">
        <v>505.4</v>
      </c>
      <c r="P123" s="21">
        <v>1465660</v>
      </c>
      <c r="Q123" s="21">
        <v>1463</v>
      </c>
      <c r="R123" s="21">
        <f>Q123*2605</f>
        <v>3811115</v>
      </c>
      <c r="S123" s="21">
        <v>0</v>
      </c>
      <c r="T123" s="21">
        <v>0</v>
      </c>
      <c r="U123" s="21">
        <v>200000</v>
      </c>
    </row>
    <row r="124" spans="1:22" ht="21.95" customHeight="1">
      <c r="A124" s="19" t="s">
        <v>1657</v>
      </c>
      <c r="B124" s="29" t="s">
        <v>253</v>
      </c>
      <c r="C124" s="1">
        <f t="shared" si="29"/>
        <v>11214510</v>
      </c>
      <c r="D124" s="21">
        <f t="shared" si="51"/>
        <v>2942055</v>
      </c>
      <c r="E124" s="21">
        <f>350*1590.3</f>
        <v>556605</v>
      </c>
      <c r="F124" s="21">
        <f>800*1590.3</f>
        <v>1272240</v>
      </c>
      <c r="G124" s="21">
        <f>300*1590.3</f>
        <v>477090</v>
      </c>
      <c r="H124" s="21">
        <f>500*0</f>
        <v>0</v>
      </c>
      <c r="I124" s="21">
        <f>400*1590.3</f>
        <v>636120</v>
      </c>
      <c r="J124" s="21">
        <f>350*0</f>
        <v>0</v>
      </c>
      <c r="K124" s="40">
        <v>0</v>
      </c>
      <c r="L124" s="21">
        <v>0</v>
      </c>
      <c r="M124" s="21">
        <v>899</v>
      </c>
      <c r="N124" s="21">
        <f>M124*5300</f>
        <v>4764700</v>
      </c>
      <c r="O124" s="21">
        <v>49.2</v>
      </c>
      <c r="P124" s="21">
        <v>142680</v>
      </c>
      <c r="Q124" s="21">
        <v>1215</v>
      </c>
      <c r="R124" s="21">
        <v>3165075</v>
      </c>
      <c r="S124" s="21">
        <v>0</v>
      </c>
      <c r="T124" s="21">
        <v>0</v>
      </c>
      <c r="U124" s="21">
        <v>200000</v>
      </c>
    </row>
    <row r="125" spans="1:22" ht="21.95" customHeight="1">
      <c r="A125" s="19" t="s">
        <v>1658</v>
      </c>
      <c r="B125" s="24" t="s">
        <v>255</v>
      </c>
      <c r="C125" s="1">
        <f t="shared" si="29"/>
        <v>10019175</v>
      </c>
      <c r="D125" s="21">
        <f t="shared" si="51"/>
        <v>0</v>
      </c>
      <c r="E125" s="21">
        <v>0</v>
      </c>
      <c r="F125" s="21">
        <v>0</v>
      </c>
      <c r="G125" s="21">
        <v>0</v>
      </c>
      <c r="H125" s="21">
        <v>0</v>
      </c>
      <c r="I125" s="21">
        <v>0</v>
      </c>
      <c r="J125" s="21">
        <v>0</v>
      </c>
      <c r="K125" s="40">
        <v>0</v>
      </c>
      <c r="L125" s="21">
        <v>0</v>
      </c>
      <c r="M125" s="21">
        <v>994</v>
      </c>
      <c r="N125" s="21">
        <v>3280200</v>
      </c>
      <c r="O125" s="21">
        <v>0</v>
      </c>
      <c r="P125" s="21">
        <v>0</v>
      </c>
      <c r="Q125" s="21">
        <v>2395</v>
      </c>
      <c r="R125" s="21">
        <v>6238975</v>
      </c>
      <c r="S125" s="21">
        <v>0</v>
      </c>
      <c r="T125" s="21">
        <v>0</v>
      </c>
      <c r="U125" s="21">
        <v>500000</v>
      </c>
    </row>
    <row r="126" spans="1:22" ht="21.95" customHeight="1">
      <c r="A126" s="19" t="s">
        <v>1659</v>
      </c>
      <c r="B126" s="29" t="s">
        <v>254</v>
      </c>
      <c r="C126" s="1">
        <f t="shared" si="29"/>
        <v>300000</v>
      </c>
      <c r="D126" s="21">
        <f t="shared" si="51"/>
        <v>0</v>
      </c>
      <c r="E126" s="21">
        <v>0</v>
      </c>
      <c r="F126" s="21">
        <v>0</v>
      </c>
      <c r="G126" s="21">
        <v>0</v>
      </c>
      <c r="H126" s="21">
        <v>0</v>
      </c>
      <c r="I126" s="21">
        <v>0</v>
      </c>
      <c r="J126" s="21">
        <v>0</v>
      </c>
      <c r="K126" s="40">
        <v>0</v>
      </c>
      <c r="L126" s="21">
        <v>0</v>
      </c>
      <c r="M126" s="21">
        <v>0</v>
      </c>
      <c r="N126" s="21">
        <v>0</v>
      </c>
      <c r="O126" s="21">
        <v>0</v>
      </c>
      <c r="P126" s="21">
        <v>0</v>
      </c>
      <c r="Q126" s="21">
        <v>0</v>
      </c>
      <c r="R126" s="21">
        <v>0</v>
      </c>
      <c r="S126" s="21">
        <v>0</v>
      </c>
      <c r="T126" s="21">
        <v>0</v>
      </c>
      <c r="U126" s="21">
        <v>300000</v>
      </c>
    </row>
    <row r="127" spans="1:22" ht="21.95" customHeight="1">
      <c r="A127" s="19" t="s">
        <v>1660</v>
      </c>
      <c r="B127" s="29" t="s">
        <v>256</v>
      </c>
      <c r="C127" s="1">
        <f t="shared" si="29"/>
        <v>300000</v>
      </c>
      <c r="D127" s="21">
        <f t="shared" si="51"/>
        <v>0</v>
      </c>
      <c r="E127" s="21">
        <v>0</v>
      </c>
      <c r="F127" s="21">
        <v>0</v>
      </c>
      <c r="G127" s="21">
        <v>0</v>
      </c>
      <c r="H127" s="21">
        <v>0</v>
      </c>
      <c r="I127" s="21">
        <v>0</v>
      </c>
      <c r="J127" s="21">
        <v>0</v>
      </c>
      <c r="K127" s="40">
        <v>0</v>
      </c>
      <c r="L127" s="21">
        <v>0</v>
      </c>
      <c r="M127" s="21">
        <v>0</v>
      </c>
      <c r="N127" s="21">
        <v>0</v>
      </c>
      <c r="O127" s="21">
        <v>0</v>
      </c>
      <c r="P127" s="21">
        <v>0</v>
      </c>
      <c r="Q127" s="21">
        <v>0</v>
      </c>
      <c r="R127" s="21">
        <v>0</v>
      </c>
      <c r="S127" s="21">
        <v>0</v>
      </c>
      <c r="T127" s="21">
        <v>0</v>
      </c>
      <c r="U127" s="21">
        <v>300000</v>
      </c>
    </row>
    <row r="128" spans="1:22" ht="21.95" customHeight="1">
      <c r="A128" s="19" t="s">
        <v>1661</v>
      </c>
      <c r="B128" s="29" t="s">
        <v>257</v>
      </c>
      <c r="C128" s="1">
        <f t="shared" si="29"/>
        <v>9294346.5</v>
      </c>
      <c r="D128" s="21">
        <f t="shared" si="51"/>
        <v>2935746.5</v>
      </c>
      <c r="E128" s="21">
        <f>350*1586.89</f>
        <v>555411.5</v>
      </c>
      <c r="F128" s="21">
        <f>800*1586.89</f>
        <v>1269512</v>
      </c>
      <c r="G128" s="21">
        <f>300*1586.89</f>
        <v>476067.00000000006</v>
      </c>
      <c r="H128" s="21">
        <f>500*0</f>
        <v>0</v>
      </c>
      <c r="I128" s="21">
        <f>400*1586.89</f>
        <v>634756</v>
      </c>
      <c r="J128" s="21">
        <f>350*0</f>
        <v>0</v>
      </c>
      <c r="K128" s="40">
        <v>0</v>
      </c>
      <c r="L128" s="21">
        <v>0</v>
      </c>
      <c r="M128" s="21">
        <v>877.5</v>
      </c>
      <c r="N128" s="21">
        <v>2895750</v>
      </c>
      <c r="O128" s="21">
        <v>41.8</v>
      </c>
      <c r="P128" s="21">
        <v>121220</v>
      </c>
      <c r="Q128" s="21">
        <v>1206</v>
      </c>
      <c r="R128" s="21">
        <f>Q128*2605</f>
        <v>3141630</v>
      </c>
      <c r="S128" s="21">
        <v>0</v>
      </c>
      <c r="T128" s="21">
        <v>0</v>
      </c>
      <c r="U128" s="21">
        <v>200000</v>
      </c>
    </row>
    <row r="129" spans="1:22" ht="21.95" customHeight="1">
      <c r="A129" s="19" t="s">
        <v>1662</v>
      </c>
      <c r="B129" s="29" t="s">
        <v>266</v>
      </c>
      <c r="C129" s="1">
        <f t="shared" si="29"/>
        <v>300000</v>
      </c>
      <c r="D129" s="21">
        <f t="shared" si="51"/>
        <v>0</v>
      </c>
      <c r="E129" s="21">
        <v>0</v>
      </c>
      <c r="F129" s="21">
        <v>0</v>
      </c>
      <c r="G129" s="21">
        <v>0</v>
      </c>
      <c r="H129" s="21">
        <v>0</v>
      </c>
      <c r="I129" s="21">
        <v>0</v>
      </c>
      <c r="J129" s="21">
        <v>0</v>
      </c>
      <c r="K129" s="40">
        <v>0</v>
      </c>
      <c r="L129" s="21">
        <v>0</v>
      </c>
      <c r="M129" s="21">
        <v>0</v>
      </c>
      <c r="N129" s="21">
        <v>0</v>
      </c>
      <c r="O129" s="21">
        <v>0</v>
      </c>
      <c r="P129" s="21">
        <v>0</v>
      </c>
      <c r="Q129" s="21">
        <v>0</v>
      </c>
      <c r="R129" s="21">
        <v>0</v>
      </c>
      <c r="S129" s="21">
        <v>0</v>
      </c>
      <c r="T129" s="21">
        <v>0</v>
      </c>
      <c r="U129" s="21">
        <v>300000</v>
      </c>
    </row>
    <row r="130" spans="1:22" ht="21.95" customHeight="1">
      <c r="A130" s="19" t="s">
        <v>1663</v>
      </c>
      <c r="B130" s="29" t="s">
        <v>269</v>
      </c>
      <c r="C130" s="1">
        <f t="shared" si="29"/>
        <v>300000</v>
      </c>
      <c r="D130" s="21">
        <f t="shared" si="51"/>
        <v>0</v>
      </c>
      <c r="E130" s="21">
        <v>0</v>
      </c>
      <c r="F130" s="21">
        <v>0</v>
      </c>
      <c r="G130" s="21">
        <v>0</v>
      </c>
      <c r="H130" s="21">
        <v>0</v>
      </c>
      <c r="I130" s="21">
        <v>0</v>
      </c>
      <c r="J130" s="21">
        <v>0</v>
      </c>
      <c r="K130" s="40">
        <v>0</v>
      </c>
      <c r="L130" s="21">
        <v>0</v>
      </c>
      <c r="M130" s="21">
        <v>0</v>
      </c>
      <c r="N130" s="21">
        <v>0</v>
      </c>
      <c r="O130" s="21">
        <v>0</v>
      </c>
      <c r="P130" s="21">
        <v>0</v>
      </c>
      <c r="Q130" s="21">
        <v>0</v>
      </c>
      <c r="R130" s="21">
        <v>0</v>
      </c>
      <c r="S130" s="21">
        <v>0</v>
      </c>
      <c r="T130" s="21">
        <v>0</v>
      </c>
      <c r="U130" s="21">
        <v>300000</v>
      </c>
    </row>
    <row r="131" spans="1:22" ht="45" customHeight="1">
      <c r="A131" s="55" t="s">
        <v>1343</v>
      </c>
      <c r="B131" s="55"/>
      <c r="C131" s="1">
        <f t="shared" si="29"/>
        <v>2161200</v>
      </c>
      <c r="D131" s="1">
        <f t="shared" ref="D131:U131" si="52">SUM(D132)</f>
        <v>0</v>
      </c>
      <c r="E131" s="1">
        <f t="shared" si="52"/>
        <v>0</v>
      </c>
      <c r="F131" s="1">
        <f t="shared" si="52"/>
        <v>0</v>
      </c>
      <c r="G131" s="1">
        <f t="shared" si="52"/>
        <v>0</v>
      </c>
      <c r="H131" s="1">
        <f t="shared" si="52"/>
        <v>0</v>
      </c>
      <c r="I131" s="1">
        <f t="shared" si="52"/>
        <v>0</v>
      </c>
      <c r="J131" s="1">
        <f t="shared" si="52"/>
        <v>0</v>
      </c>
      <c r="K131" s="42">
        <f t="shared" si="52"/>
        <v>0</v>
      </c>
      <c r="L131" s="1">
        <f t="shared" si="52"/>
        <v>0</v>
      </c>
      <c r="M131" s="1">
        <f t="shared" si="52"/>
        <v>564</v>
      </c>
      <c r="N131" s="1">
        <f t="shared" si="52"/>
        <v>1861200</v>
      </c>
      <c r="O131" s="1">
        <f t="shared" si="52"/>
        <v>0</v>
      </c>
      <c r="P131" s="1">
        <f t="shared" si="52"/>
        <v>0</v>
      </c>
      <c r="Q131" s="1">
        <f t="shared" si="52"/>
        <v>0</v>
      </c>
      <c r="R131" s="1">
        <f t="shared" si="52"/>
        <v>0</v>
      </c>
      <c r="S131" s="1">
        <f t="shared" si="52"/>
        <v>0</v>
      </c>
      <c r="T131" s="1">
        <f t="shared" si="52"/>
        <v>0</v>
      </c>
      <c r="U131" s="1">
        <f t="shared" si="52"/>
        <v>300000</v>
      </c>
      <c r="V131" s="13">
        <f>C131+C508</f>
        <v>3606975</v>
      </c>
    </row>
    <row r="132" spans="1:22" ht="21.95" customHeight="1">
      <c r="A132" s="19" t="s">
        <v>1664</v>
      </c>
      <c r="B132" s="29" t="s">
        <v>1344</v>
      </c>
      <c r="C132" s="1">
        <f t="shared" si="29"/>
        <v>2161200</v>
      </c>
      <c r="D132" s="21">
        <f>SUM(E132:J132)</f>
        <v>0</v>
      </c>
      <c r="E132" s="21">
        <v>0</v>
      </c>
      <c r="F132" s="21">
        <v>0</v>
      </c>
      <c r="G132" s="21">
        <v>0</v>
      </c>
      <c r="H132" s="21">
        <v>0</v>
      </c>
      <c r="I132" s="21">
        <v>0</v>
      </c>
      <c r="J132" s="21">
        <v>0</v>
      </c>
      <c r="K132" s="40">
        <v>0</v>
      </c>
      <c r="L132" s="21">
        <v>0</v>
      </c>
      <c r="M132" s="21">
        <v>564</v>
      </c>
      <c r="N132" s="21">
        <f>M132*3300</f>
        <v>1861200</v>
      </c>
      <c r="O132" s="21">
        <v>0</v>
      </c>
      <c r="P132" s="21">
        <v>0</v>
      </c>
      <c r="Q132" s="21">
        <v>0</v>
      </c>
      <c r="R132" s="21">
        <v>0</v>
      </c>
      <c r="S132" s="21">
        <v>0</v>
      </c>
      <c r="T132" s="21">
        <v>0</v>
      </c>
      <c r="U132" s="21">
        <v>300000</v>
      </c>
    </row>
    <row r="133" spans="1:22" ht="45" customHeight="1">
      <c r="A133" s="55" t="s">
        <v>276</v>
      </c>
      <c r="B133" s="55"/>
      <c r="C133" s="1">
        <f t="shared" si="29"/>
        <v>5519169</v>
      </c>
      <c r="D133" s="1">
        <f t="shared" ref="D133:U133" si="53">SUM(D134)</f>
        <v>1575745.5</v>
      </c>
      <c r="E133" s="1">
        <f t="shared" si="53"/>
        <v>234685.5</v>
      </c>
      <c r="F133" s="1">
        <f t="shared" si="53"/>
        <v>536424</v>
      </c>
      <c r="G133" s="1">
        <f t="shared" si="53"/>
        <v>201159</v>
      </c>
      <c r="H133" s="1">
        <f t="shared" si="53"/>
        <v>335265</v>
      </c>
      <c r="I133" s="1">
        <f t="shared" si="53"/>
        <v>268212</v>
      </c>
      <c r="J133" s="1">
        <f t="shared" si="53"/>
        <v>0</v>
      </c>
      <c r="K133" s="42">
        <f t="shared" si="53"/>
        <v>0</v>
      </c>
      <c r="L133" s="1">
        <f t="shared" si="53"/>
        <v>0</v>
      </c>
      <c r="M133" s="1">
        <f t="shared" si="53"/>
        <v>473</v>
      </c>
      <c r="N133" s="1">
        <f t="shared" si="53"/>
        <v>1560900</v>
      </c>
      <c r="O133" s="1">
        <f t="shared" si="53"/>
        <v>332.4</v>
      </c>
      <c r="P133" s="1">
        <f t="shared" si="53"/>
        <v>398880</v>
      </c>
      <c r="Q133" s="1">
        <f t="shared" si="53"/>
        <v>684.7</v>
      </c>
      <c r="R133" s="1">
        <f t="shared" si="53"/>
        <v>1783643.5000000002</v>
      </c>
      <c r="S133" s="1">
        <f t="shared" si="53"/>
        <v>0</v>
      </c>
      <c r="T133" s="1">
        <f t="shared" si="53"/>
        <v>0</v>
      </c>
      <c r="U133" s="1">
        <f t="shared" si="53"/>
        <v>200000</v>
      </c>
      <c r="V133" s="13">
        <f>C133</f>
        <v>5519169</v>
      </c>
    </row>
    <row r="134" spans="1:22" ht="21.95" customHeight="1">
      <c r="A134" s="19" t="s">
        <v>879</v>
      </c>
      <c r="B134" s="29" t="s">
        <v>277</v>
      </c>
      <c r="C134" s="1">
        <f t="shared" si="29"/>
        <v>5519169</v>
      </c>
      <c r="D134" s="21">
        <f>SUM(E134:J134)</f>
        <v>1575745.5</v>
      </c>
      <c r="E134" s="21">
        <f>350*670.53</f>
        <v>234685.5</v>
      </c>
      <c r="F134" s="21">
        <f>670.53*800</f>
        <v>536424</v>
      </c>
      <c r="G134" s="21">
        <f>300*670.53</f>
        <v>201159</v>
      </c>
      <c r="H134" s="21">
        <f>500*670.53</f>
        <v>335265</v>
      </c>
      <c r="I134" s="21">
        <f>400*670.53</f>
        <v>268212</v>
      </c>
      <c r="J134" s="21">
        <f>350*0</f>
        <v>0</v>
      </c>
      <c r="K134" s="40">
        <v>0</v>
      </c>
      <c r="L134" s="21">
        <v>0</v>
      </c>
      <c r="M134" s="21">
        <v>473</v>
      </c>
      <c r="N134" s="21">
        <f>M134*3300</f>
        <v>1560900</v>
      </c>
      <c r="O134" s="21">
        <v>332.4</v>
      </c>
      <c r="P134" s="21">
        <v>398880</v>
      </c>
      <c r="Q134" s="21">
        <v>684.7</v>
      </c>
      <c r="R134" s="21">
        <f>Q134*2605</f>
        <v>1783643.5000000002</v>
      </c>
      <c r="S134" s="21">
        <v>0</v>
      </c>
      <c r="T134" s="21">
        <v>0</v>
      </c>
      <c r="U134" s="21">
        <v>200000</v>
      </c>
    </row>
    <row r="135" spans="1:22" ht="45" customHeight="1">
      <c r="A135" s="55" t="s">
        <v>1568</v>
      </c>
      <c r="B135" s="55"/>
      <c r="C135" s="1">
        <f t="shared" si="29"/>
        <v>2761325</v>
      </c>
      <c r="D135" s="1">
        <f t="shared" ref="D135:U135" si="54">SUM(D136)</f>
        <v>873285</v>
      </c>
      <c r="E135" s="1">
        <f t="shared" si="54"/>
        <v>291095</v>
      </c>
      <c r="F135" s="1">
        <f t="shared" si="54"/>
        <v>0</v>
      </c>
      <c r="G135" s="1">
        <f t="shared" si="54"/>
        <v>249510</v>
      </c>
      <c r="H135" s="1">
        <f t="shared" si="54"/>
        <v>0</v>
      </c>
      <c r="I135" s="1">
        <f t="shared" si="54"/>
        <v>332680</v>
      </c>
      <c r="J135" s="1">
        <f t="shared" si="54"/>
        <v>0</v>
      </c>
      <c r="K135" s="42">
        <f t="shared" si="54"/>
        <v>0</v>
      </c>
      <c r="L135" s="1">
        <f t="shared" si="54"/>
        <v>0</v>
      </c>
      <c r="M135" s="1">
        <f t="shared" si="54"/>
        <v>0</v>
      </c>
      <c r="N135" s="1">
        <f t="shared" si="54"/>
        <v>0</v>
      </c>
      <c r="O135" s="1">
        <f t="shared" si="54"/>
        <v>0</v>
      </c>
      <c r="P135" s="1">
        <f t="shared" si="54"/>
        <v>0</v>
      </c>
      <c r="Q135" s="1">
        <f t="shared" si="54"/>
        <v>648</v>
      </c>
      <c r="R135" s="1">
        <f t="shared" si="54"/>
        <v>1688040</v>
      </c>
      <c r="S135" s="1">
        <f t="shared" si="54"/>
        <v>0</v>
      </c>
      <c r="T135" s="1">
        <f t="shared" si="54"/>
        <v>0</v>
      </c>
      <c r="U135" s="1">
        <f t="shared" si="54"/>
        <v>200000</v>
      </c>
      <c r="V135" s="13">
        <f>C135</f>
        <v>2761325</v>
      </c>
    </row>
    <row r="136" spans="1:22" ht="21.95" customHeight="1">
      <c r="A136" s="19" t="s">
        <v>880</v>
      </c>
      <c r="B136" s="29" t="s">
        <v>1569</v>
      </c>
      <c r="C136" s="1">
        <f t="shared" si="29"/>
        <v>2761325</v>
      </c>
      <c r="D136" s="21">
        <f>SUM(E136:J136)</f>
        <v>873285</v>
      </c>
      <c r="E136" s="21">
        <f>350*831.7</f>
        <v>291095</v>
      </c>
      <c r="F136" s="21">
        <f>670.53*0</f>
        <v>0</v>
      </c>
      <c r="G136" s="21">
        <f>300*831.7</f>
        <v>249510</v>
      </c>
      <c r="H136" s="21">
        <f>500*0</f>
        <v>0</v>
      </c>
      <c r="I136" s="21">
        <f>400*831.7</f>
        <v>332680</v>
      </c>
      <c r="J136" s="21">
        <f>350*0</f>
        <v>0</v>
      </c>
      <c r="K136" s="40">
        <v>0</v>
      </c>
      <c r="L136" s="21">
        <v>0</v>
      </c>
      <c r="M136" s="21">
        <v>0</v>
      </c>
      <c r="N136" s="21">
        <v>0</v>
      </c>
      <c r="O136" s="21">
        <v>0</v>
      </c>
      <c r="P136" s="21">
        <v>0</v>
      </c>
      <c r="Q136" s="21">
        <v>648</v>
      </c>
      <c r="R136" s="21">
        <v>1688040</v>
      </c>
      <c r="S136" s="21">
        <v>0</v>
      </c>
      <c r="T136" s="21">
        <v>0</v>
      </c>
      <c r="U136" s="21">
        <v>200000</v>
      </c>
    </row>
    <row r="137" spans="1:22" ht="45" customHeight="1">
      <c r="A137" s="55" t="s">
        <v>390</v>
      </c>
      <c r="B137" s="55"/>
      <c r="C137" s="1">
        <f t="shared" si="29"/>
        <v>852733761.57999992</v>
      </c>
      <c r="D137" s="1">
        <f t="shared" ref="D137:U137" si="55">SUM(D138:D305)</f>
        <v>380593717</v>
      </c>
      <c r="E137" s="1">
        <f t="shared" si="55"/>
        <v>60234888</v>
      </c>
      <c r="F137" s="1">
        <f t="shared" si="55"/>
        <v>135303680</v>
      </c>
      <c r="G137" s="1">
        <f t="shared" si="55"/>
        <v>51629904</v>
      </c>
      <c r="H137" s="1">
        <f t="shared" si="55"/>
        <v>64553285</v>
      </c>
      <c r="I137" s="1">
        <f t="shared" si="55"/>
        <v>68871960</v>
      </c>
      <c r="J137" s="1">
        <f t="shared" si="55"/>
        <v>0</v>
      </c>
      <c r="K137" s="42">
        <f t="shared" si="55"/>
        <v>10</v>
      </c>
      <c r="L137" s="1">
        <f t="shared" si="55"/>
        <v>21500000</v>
      </c>
      <c r="M137" s="1">
        <f t="shared" si="55"/>
        <v>53861.38</v>
      </c>
      <c r="N137" s="1">
        <f t="shared" si="55"/>
        <v>269836465.39999998</v>
      </c>
      <c r="O137" s="1">
        <f t="shared" si="55"/>
        <v>2927.2</v>
      </c>
      <c r="P137" s="1">
        <f t="shared" si="55"/>
        <v>3611820</v>
      </c>
      <c r="Q137" s="1">
        <f t="shared" si="55"/>
        <v>47910.37</v>
      </c>
      <c r="R137" s="1">
        <f t="shared" si="55"/>
        <v>125484781.94999999</v>
      </c>
      <c r="S137" s="1">
        <f t="shared" si="55"/>
        <v>2572920</v>
      </c>
      <c r="T137" s="1">
        <f t="shared" si="55"/>
        <v>680000</v>
      </c>
      <c r="U137" s="1">
        <f t="shared" si="55"/>
        <v>48454057.230000004</v>
      </c>
      <c r="V137" s="13">
        <f>C137+C515+C898</f>
        <v>2171923727.3299999</v>
      </c>
    </row>
    <row r="138" spans="1:22" ht="21.95" customHeight="1">
      <c r="A138" s="19" t="s">
        <v>881</v>
      </c>
      <c r="B138" s="24" t="s">
        <v>492</v>
      </c>
      <c r="C138" s="1">
        <f t="shared" si="29"/>
        <v>3598890</v>
      </c>
      <c r="D138" s="21">
        <f t="shared" ref="D138:D201" si="56">SUM(E138:J138)</f>
        <v>0</v>
      </c>
      <c r="E138" s="21">
        <v>0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40">
        <v>0</v>
      </c>
      <c r="L138" s="21">
        <v>0</v>
      </c>
      <c r="M138" s="21">
        <v>641.29999999999995</v>
      </c>
      <c r="N138" s="21">
        <v>3398890</v>
      </c>
      <c r="O138" s="21">
        <v>0</v>
      </c>
      <c r="P138" s="21">
        <v>0</v>
      </c>
      <c r="Q138" s="21">
        <v>0</v>
      </c>
      <c r="R138" s="21">
        <v>0</v>
      </c>
      <c r="S138" s="21">
        <v>0</v>
      </c>
      <c r="T138" s="21">
        <v>0</v>
      </c>
      <c r="U138" s="21">
        <v>200000</v>
      </c>
    </row>
    <row r="139" spans="1:22" ht="21.95" customHeight="1">
      <c r="A139" s="19" t="s">
        <v>1665</v>
      </c>
      <c r="B139" s="24" t="s">
        <v>493</v>
      </c>
      <c r="C139" s="1">
        <f t="shared" ref="C139:C202" si="57">D139+L139+N139+P139+R139+S139+T139+U139</f>
        <v>4302200</v>
      </c>
      <c r="D139" s="21">
        <f t="shared" si="56"/>
        <v>0</v>
      </c>
      <c r="E139" s="21">
        <v>0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40">
        <v>0</v>
      </c>
      <c r="L139" s="21">
        <v>0</v>
      </c>
      <c r="M139" s="21">
        <v>774</v>
      </c>
      <c r="N139" s="21">
        <v>4102200</v>
      </c>
      <c r="O139" s="21">
        <v>0</v>
      </c>
      <c r="P139" s="21">
        <v>0</v>
      </c>
      <c r="Q139" s="21">
        <v>0</v>
      </c>
      <c r="R139" s="21">
        <v>0</v>
      </c>
      <c r="S139" s="21">
        <v>0</v>
      </c>
      <c r="T139" s="21">
        <v>0</v>
      </c>
      <c r="U139" s="21">
        <v>200000</v>
      </c>
    </row>
    <row r="140" spans="1:22" ht="21.95" customHeight="1">
      <c r="A140" s="19" t="s">
        <v>882</v>
      </c>
      <c r="B140" s="35" t="s">
        <v>1572</v>
      </c>
      <c r="C140" s="1">
        <f t="shared" si="57"/>
        <v>3255957</v>
      </c>
      <c r="D140" s="21">
        <f t="shared" si="56"/>
        <v>875175</v>
      </c>
      <c r="E140" s="21">
        <f>350*833.5</f>
        <v>291725</v>
      </c>
      <c r="F140" s="21">
        <f>800*0</f>
        <v>0</v>
      </c>
      <c r="G140" s="21">
        <f>300*833.5</f>
        <v>250050</v>
      </c>
      <c r="H140" s="21">
        <f>500*0</f>
        <v>0</v>
      </c>
      <c r="I140" s="21">
        <f>400*833.5</f>
        <v>333400</v>
      </c>
      <c r="J140" s="21">
        <f>350*0</f>
        <v>0</v>
      </c>
      <c r="K140" s="40">
        <v>0</v>
      </c>
      <c r="L140" s="21">
        <v>0</v>
      </c>
      <c r="M140" s="21">
        <v>457.19</v>
      </c>
      <c r="N140" s="21">
        <v>2194512</v>
      </c>
      <c r="O140" s="21">
        <v>0</v>
      </c>
      <c r="P140" s="21">
        <v>0</v>
      </c>
      <c r="Q140" s="21">
        <v>0</v>
      </c>
      <c r="R140" s="21">
        <v>0</v>
      </c>
      <c r="S140" s="21">
        <v>186270</v>
      </c>
      <c r="T140" s="21">
        <v>0</v>
      </c>
      <c r="U140" s="21">
        <v>0</v>
      </c>
    </row>
    <row r="141" spans="1:22" ht="21.95" customHeight="1">
      <c r="A141" s="19" t="s">
        <v>883</v>
      </c>
      <c r="B141" s="24" t="s">
        <v>509</v>
      </c>
      <c r="C141" s="1">
        <f t="shared" si="57"/>
        <v>4426220</v>
      </c>
      <c r="D141" s="21">
        <f t="shared" si="56"/>
        <v>0</v>
      </c>
      <c r="E141" s="21">
        <v>0</v>
      </c>
      <c r="F141" s="21">
        <v>0</v>
      </c>
      <c r="G141" s="21">
        <v>0</v>
      </c>
      <c r="H141" s="21">
        <v>0</v>
      </c>
      <c r="I141" s="21">
        <v>0</v>
      </c>
      <c r="J141" s="21">
        <v>0</v>
      </c>
      <c r="K141" s="40">
        <v>0</v>
      </c>
      <c r="L141" s="21">
        <v>0</v>
      </c>
      <c r="M141" s="21">
        <v>797.4</v>
      </c>
      <c r="N141" s="21">
        <f>M141*5300</f>
        <v>4226220</v>
      </c>
      <c r="O141" s="21">
        <v>0</v>
      </c>
      <c r="P141" s="21">
        <v>0</v>
      </c>
      <c r="Q141" s="21">
        <v>0</v>
      </c>
      <c r="R141" s="21">
        <v>0</v>
      </c>
      <c r="S141" s="21">
        <v>0</v>
      </c>
      <c r="T141" s="21">
        <v>0</v>
      </c>
      <c r="U141" s="21">
        <v>200000</v>
      </c>
    </row>
    <row r="142" spans="1:22" ht="21.95" customHeight="1">
      <c r="A142" s="19" t="s">
        <v>1350</v>
      </c>
      <c r="B142" s="24" t="s">
        <v>448</v>
      </c>
      <c r="C142" s="1">
        <f t="shared" si="57"/>
        <v>561920</v>
      </c>
      <c r="D142" s="21">
        <f t="shared" si="56"/>
        <v>361920</v>
      </c>
      <c r="E142" s="21">
        <f>350*556.8</f>
        <v>194879.99999999997</v>
      </c>
      <c r="F142" s="21">
        <f>800*0</f>
        <v>0</v>
      </c>
      <c r="G142" s="21">
        <f>300*556.8</f>
        <v>167040</v>
      </c>
      <c r="H142" s="21">
        <f>500*0</f>
        <v>0</v>
      </c>
      <c r="I142" s="21">
        <f>400*0</f>
        <v>0</v>
      </c>
      <c r="J142" s="21">
        <f>350*0</f>
        <v>0</v>
      </c>
      <c r="K142" s="40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200000</v>
      </c>
    </row>
    <row r="143" spans="1:22" ht="21.95" customHeight="1">
      <c r="A143" s="19" t="s">
        <v>884</v>
      </c>
      <c r="B143" s="24" t="s">
        <v>510</v>
      </c>
      <c r="C143" s="1">
        <f t="shared" si="57"/>
        <v>6106950</v>
      </c>
      <c r="D143" s="21">
        <f t="shared" si="56"/>
        <v>0</v>
      </c>
      <c r="E143" s="21">
        <v>0</v>
      </c>
      <c r="F143" s="21">
        <v>0</v>
      </c>
      <c r="G143" s="21">
        <v>0</v>
      </c>
      <c r="H143" s="21">
        <v>0</v>
      </c>
      <c r="I143" s="21">
        <v>0</v>
      </c>
      <c r="J143" s="21">
        <v>0</v>
      </c>
      <c r="K143" s="40">
        <v>0</v>
      </c>
      <c r="L143" s="21">
        <v>0</v>
      </c>
      <c r="M143" s="21">
        <v>756.7</v>
      </c>
      <c r="N143" s="21">
        <v>4010510</v>
      </c>
      <c r="O143" s="21">
        <v>0</v>
      </c>
      <c r="P143" s="21">
        <v>0</v>
      </c>
      <c r="Q143" s="21">
        <v>728</v>
      </c>
      <c r="R143" s="21">
        <v>1896440</v>
      </c>
      <c r="S143" s="21">
        <v>0</v>
      </c>
      <c r="T143" s="21">
        <v>0</v>
      </c>
      <c r="U143" s="21">
        <v>200000</v>
      </c>
    </row>
    <row r="144" spans="1:22" ht="21.95" customHeight="1">
      <c r="A144" s="19" t="s">
        <v>885</v>
      </c>
      <c r="B144" s="24" t="s">
        <v>441</v>
      </c>
      <c r="C144" s="1">
        <f t="shared" si="57"/>
        <v>668182</v>
      </c>
      <c r="D144" s="21">
        <f t="shared" si="56"/>
        <v>468182</v>
      </c>
      <c r="E144" s="21">
        <f>350*720.28</f>
        <v>252098</v>
      </c>
      <c r="F144" s="21">
        <f>800*0</f>
        <v>0</v>
      </c>
      <c r="G144" s="21">
        <f>300*720.28</f>
        <v>216084</v>
      </c>
      <c r="H144" s="21">
        <f>500*0</f>
        <v>0</v>
      </c>
      <c r="I144" s="21">
        <f>400*0</f>
        <v>0</v>
      </c>
      <c r="J144" s="21">
        <f>350*0</f>
        <v>0</v>
      </c>
      <c r="K144" s="40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0</v>
      </c>
      <c r="U144" s="21">
        <v>200000</v>
      </c>
    </row>
    <row r="145" spans="1:21" ht="21.95" customHeight="1">
      <c r="A145" s="19" t="s">
        <v>886</v>
      </c>
      <c r="B145" s="30" t="s">
        <v>391</v>
      </c>
      <c r="C145" s="1">
        <f t="shared" si="57"/>
        <v>2652840</v>
      </c>
      <c r="D145" s="21">
        <f t="shared" si="56"/>
        <v>0</v>
      </c>
      <c r="E145" s="21">
        <v>0</v>
      </c>
      <c r="F145" s="21">
        <v>0</v>
      </c>
      <c r="G145" s="21">
        <v>0</v>
      </c>
      <c r="H145" s="21">
        <v>0</v>
      </c>
      <c r="I145" s="21">
        <v>0</v>
      </c>
      <c r="J145" s="21">
        <v>0</v>
      </c>
      <c r="K145" s="40">
        <v>0</v>
      </c>
      <c r="L145" s="21">
        <v>0</v>
      </c>
      <c r="M145" s="21">
        <v>462.8</v>
      </c>
      <c r="N145" s="21">
        <v>2452840</v>
      </c>
      <c r="O145" s="21">
        <v>0</v>
      </c>
      <c r="P145" s="21">
        <v>0</v>
      </c>
      <c r="Q145" s="21">
        <v>0</v>
      </c>
      <c r="R145" s="21">
        <v>0</v>
      </c>
      <c r="S145" s="21">
        <v>0</v>
      </c>
      <c r="T145" s="21">
        <v>0</v>
      </c>
      <c r="U145" s="21">
        <v>200000</v>
      </c>
    </row>
    <row r="146" spans="1:21" ht="21.95" customHeight="1">
      <c r="A146" s="19" t="s">
        <v>1666</v>
      </c>
      <c r="B146" s="35" t="s">
        <v>1546</v>
      </c>
      <c r="C146" s="1">
        <f t="shared" si="57"/>
        <v>3823384.7</v>
      </c>
      <c r="D146" s="21">
        <f t="shared" si="56"/>
        <v>0</v>
      </c>
      <c r="E146" s="21">
        <v>0</v>
      </c>
      <c r="F146" s="21">
        <v>0</v>
      </c>
      <c r="G146" s="21">
        <v>0</v>
      </c>
      <c r="H146" s="21">
        <v>0</v>
      </c>
      <c r="I146" s="21">
        <v>0</v>
      </c>
      <c r="J146" s="21">
        <v>0</v>
      </c>
      <c r="K146" s="40">
        <v>0</v>
      </c>
      <c r="L146" s="21">
        <v>0</v>
      </c>
      <c r="M146" s="21">
        <v>640</v>
      </c>
      <c r="N146" s="21">
        <v>3392000</v>
      </c>
      <c r="O146" s="21">
        <v>0</v>
      </c>
      <c r="P146" s="21">
        <v>0</v>
      </c>
      <c r="Q146" s="21">
        <v>0</v>
      </c>
      <c r="R146" s="21">
        <v>0</v>
      </c>
      <c r="S146" s="21">
        <v>0</v>
      </c>
      <c r="T146" s="21">
        <v>0</v>
      </c>
      <c r="U146" s="21">
        <v>431384.7</v>
      </c>
    </row>
    <row r="147" spans="1:21" ht="21.95" customHeight="1">
      <c r="A147" s="19" t="s">
        <v>1667</v>
      </c>
      <c r="B147" s="35" t="s">
        <v>1547</v>
      </c>
      <c r="C147" s="1">
        <f t="shared" si="57"/>
        <v>3494213.16</v>
      </c>
      <c r="D147" s="21">
        <f t="shared" si="56"/>
        <v>0</v>
      </c>
      <c r="E147" s="21">
        <v>0</v>
      </c>
      <c r="F147" s="21">
        <v>0</v>
      </c>
      <c r="G147" s="21">
        <v>0</v>
      </c>
      <c r="H147" s="21">
        <v>0</v>
      </c>
      <c r="I147" s="21">
        <v>0</v>
      </c>
      <c r="J147" s="21">
        <v>0</v>
      </c>
      <c r="K147" s="40">
        <v>0</v>
      </c>
      <c r="L147" s="21">
        <v>0</v>
      </c>
      <c r="M147" s="21">
        <v>583</v>
      </c>
      <c r="N147" s="21">
        <v>3089900</v>
      </c>
      <c r="O147" s="21">
        <v>0</v>
      </c>
      <c r="P147" s="21">
        <v>0</v>
      </c>
      <c r="Q147" s="21">
        <v>0</v>
      </c>
      <c r="R147" s="21">
        <v>0</v>
      </c>
      <c r="S147" s="21">
        <v>0</v>
      </c>
      <c r="T147" s="21">
        <v>0</v>
      </c>
      <c r="U147" s="21">
        <v>404313.16</v>
      </c>
    </row>
    <row r="148" spans="1:21" ht="21.95" customHeight="1">
      <c r="A148" s="19" t="s">
        <v>1668</v>
      </c>
      <c r="B148" s="35" t="s">
        <v>1548</v>
      </c>
      <c r="C148" s="1">
        <f t="shared" si="57"/>
        <v>3114360.45</v>
      </c>
      <c r="D148" s="21">
        <f t="shared" si="56"/>
        <v>0</v>
      </c>
      <c r="E148" s="21">
        <v>0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40">
        <v>0</v>
      </c>
      <c r="L148" s="21">
        <v>0</v>
      </c>
      <c r="M148" s="21">
        <v>512</v>
      </c>
      <c r="N148" s="21">
        <v>2713600</v>
      </c>
      <c r="O148" s="21">
        <v>0</v>
      </c>
      <c r="P148" s="21">
        <v>0</v>
      </c>
      <c r="Q148" s="21">
        <v>0</v>
      </c>
      <c r="R148" s="21">
        <v>0</v>
      </c>
      <c r="S148" s="21">
        <v>0</v>
      </c>
      <c r="T148" s="21">
        <v>0</v>
      </c>
      <c r="U148" s="21">
        <v>400760.45</v>
      </c>
    </row>
    <row r="149" spans="1:21" ht="21.95" customHeight="1">
      <c r="A149" s="19" t="s">
        <v>887</v>
      </c>
      <c r="B149" s="24" t="s">
        <v>442</v>
      </c>
      <c r="C149" s="1">
        <f t="shared" si="57"/>
        <v>300000</v>
      </c>
      <c r="D149" s="21">
        <f t="shared" si="56"/>
        <v>0</v>
      </c>
      <c r="E149" s="21">
        <v>0</v>
      </c>
      <c r="F149" s="21">
        <v>0</v>
      </c>
      <c r="G149" s="21">
        <v>0</v>
      </c>
      <c r="H149" s="21">
        <v>0</v>
      </c>
      <c r="I149" s="21">
        <v>0</v>
      </c>
      <c r="J149" s="21">
        <v>0</v>
      </c>
      <c r="K149" s="40">
        <v>0</v>
      </c>
      <c r="L149" s="21">
        <v>0</v>
      </c>
      <c r="M149" s="21">
        <v>0</v>
      </c>
      <c r="N149" s="21">
        <v>0</v>
      </c>
      <c r="O149" s="21">
        <v>0</v>
      </c>
      <c r="P149" s="21">
        <v>0</v>
      </c>
      <c r="Q149" s="21">
        <v>0</v>
      </c>
      <c r="R149" s="21">
        <v>0</v>
      </c>
      <c r="S149" s="21">
        <v>0</v>
      </c>
      <c r="T149" s="21">
        <v>0</v>
      </c>
      <c r="U149" s="21">
        <v>300000</v>
      </c>
    </row>
    <row r="150" spans="1:21" ht="21.95" customHeight="1">
      <c r="A150" s="19" t="s">
        <v>1669</v>
      </c>
      <c r="B150" s="30" t="s">
        <v>443</v>
      </c>
      <c r="C150" s="1">
        <f t="shared" si="57"/>
        <v>300000</v>
      </c>
      <c r="D150" s="21">
        <f t="shared" si="56"/>
        <v>0</v>
      </c>
      <c r="E150" s="21">
        <v>0</v>
      </c>
      <c r="F150" s="21">
        <v>0</v>
      </c>
      <c r="G150" s="21">
        <v>0</v>
      </c>
      <c r="H150" s="21">
        <v>0</v>
      </c>
      <c r="I150" s="21">
        <v>0</v>
      </c>
      <c r="J150" s="21">
        <v>0</v>
      </c>
      <c r="K150" s="40">
        <v>0</v>
      </c>
      <c r="L150" s="21">
        <v>0</v>
      </c>
      <c r="M150" s="21">
        <v>0</v>
      </c>
      <c r="N150" s="21">
        <v>0</v>
      </c>
      <c r="O150" s="21">
        <v>0</v>
      </c>
      <c r="P150" s="21">
        <v>0</v>
      </c>
      <c r="Q150" s="21">
        <v>0</v>
      </c>
      <c r="R150" s="21">
        <v>0</v>
      </c>
      <c r="S150" s="21">
        <v>0</v>
      </c>
      <c r="T150" s="21">
        <v>0</v>
      </c>
      <c r="U150" s="21">
        <v>300000</v>
      </c>
    </row>
    <row r="151" spans="1:21" ht="21.95" customHeight="1">
      <c r="A151" s="19" t="s">
        <v>1670</v>
      </c>
      <c r="B151" s="30" t="s">
        <v>464</v>
      </c>
      <c r="C151" s="1">
        <f t="shared" si="57"/>
        <v>300000</v>
      </c>
      <c r="D151" s="21">
        <f t="shared" si="56"/>
        <v>0</v>
      </c>
      <c r="E151" s="21">
        <v>0</v>
      </c>
      <c r="F151" s="21">
        <v>0</v>
      </c>
      <c r="G151" s="21">
        <v>0</v>
      </c>
      <c r="H151" s="21">
        <v>0</v>
      </c>
      <c r="I151" s="21">
        <v>0</v>
      </c>
      <c r="J151" s="21">
        <v>0</v>
      </c>
      <c r="K151" s="40">
        <v>0</v>
      </c>
      <c r="L151" s="21">
        <v>0</v>
      </c>
      <c r="M151" s="21">
        <v>0</v>
      </c>
      <c r="N151" s="21">
        <v>0</v>
      </c>
      <c r="O151" s="21">
        <v>0</v>
      </c>
      <c r="P151" s="21">
        <v>0</v>
      </c>
      <c r="Q151" s="21">
        <v>0</v>
      </c>
      <c r="R151" s="21">
        <v>0</v>
      </c>
      <c r="S151" s="21">
        <v>0</v>
      </c>
      <c r="T151" s="21">
        <v>0</v>
      </c>
      <c r="U151" s="21">
        <v>300000</v>
      </c>
    </row>
    <row r="152" spans="1:21" ht="21.95" customHeight="1">
      <c r="A152" s="19" t="s">
        <v>1671</v>
      </c>
      <c r="B152" s="24" t="s">
        <v>511</v>
      </c>
      <c r="C152" s="1">
        <f t="shared" si="57"/>
        <v>4323400</v>
      </c>
      <c r="D152" s="21">
        <f t="shared" si="56"/>
        <v>0</v>
      </c>
      <c r="E152" s="21">
        <v>0</v>
      </c>
      <c r="F152" s="21">
        <v>0</v>
      </c>
      <c r="G152" s="21">
        <v>0</v>
      </c>
      <c r="H152" s="21">
        <v>0</v>
      </c>
      <c r="I152" s="21">
        <v>0</v>
      </c>
      <c r="J152" s="21">
        <v>0</v>
      </c>
      <c r="K152" s="40">
        <v>0</v>
      </c>
      <c r="L152" s="21">
        <v>0</v>
      </c>
      <c r="M152" s="21">
        <v>778</v>
      </c>
      <c r="N152" s="21">
        <v>4123400</v>
      </c>
      <c r="O152" s="21">
        <v>0</v>
      </c>
      <c r="P152" s="21">
        <v>0</v>
      </c>
      <c r="Q152" s="21">
        <v>0</v>
      </c>
      <c r="R152" s="21">
        <v>0</v>
      </c>
      <c r="S152" s="21">
        <v>0</v>
      </c>
      <c r="T152" s="21">
        <v>0</v>
      </c>
      <c r="U152" s="21">
        <v>200000</v>
      </c>
    </row>
    <row r="153" spans="1:21" ht="21.95" customHeight="1">
      <c r="A153" s="19" t="s">
        <v>1672</v>
      </c>
      <c r="B153" s="24" t="s">
        <v>512</v>
      </c>
      <c r="C153" s="1">
        <f t="shared" si="57"/>
        <v>300000</v>
      </c>
      <c r="D153" s="21">
        <f t="shared" si="56"/>
        <v>0</v>
      </c>
      <c r="E153" s="21">
        <v>0</v>
      </c>
      <c r="F153" s="21">
        <v>0</v>
      </c>
      <c r="G153" s="21">
        <v>0</v>
      </c>
      <c r="H153" s="21">
        <v>0</v>
      </c>
      <c r="I153" s="21">
        <v>0</v>
      </c>
      <c r="J153" s="21">
        <v>0</v>
      </c>
      <c r="K153" s="40">
        <v>0</v>
      </c>
      <c r="L153" s="21">
        <v>0</v>
      </c>
      <c r="M153" s="21">
        <v>0</v>
      </c>
      <c r="N153" s="21">
        <v>0</v>
      </c>
      <c r="O153" s="21">
        <v>0</v>
      </c>
      <c r="P153" s="21">
        <v>0</v>
      </c>
      <c r="Q153" s="21">
        <v>0</v>
      </c>
      <c r="R153" s="21">
        <v>0</v>
      </c>
      <c r="S153" s="21">
        <v>0</v>
      </c>
      <c r="T153" s="21">
        <v>0</v>
      </c>
      <c r="U153" s="21">
        <v>300000</v>
      </c>
    </row>
    <row r="154" spans="1:21" ht="21.95" customHeight="1">
      <c r="A154" s="19" t="s">
        <v>1673</v>
      </c>
      <c r="B154" s="24" t="s">
        <v>513</v>
      </c>
      <c r="C154" s="1">
        <f t="shared" si="57"/>
        <v>300000</v>
      </c>
      <c r="D154" s="21">
        <f t="shared" si="56"/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40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300000</v>
      </c>
    </row>
    <row r="155" spans="1:21" ht="21.95" customHeight="1">
      <c r="A155" s="19" t="s">
        <v>888</v>
      </c>
      <c r="B155" s="24" t="s">
        <v>494</v>
      </c>
      <c r="C155" s="1">
        <f t="shared" si="57"/>
        <v>300000</v>
      </c>
      <c r="D155" s="21">
        <f t="shared" si="56"/>
        <v>0</v>
      </c>
      <c r="E155" s="21">
        <v>0</v>
      </c>
      <c r="F155" s="21">
        <v>0</v>
      </c>
      <c r="G155" s="21">
        <v>0</v>
      </c>
      <c r="H155" s="21">
        <v>0</v>
      </c>
      <c r="I155" s="21">
        <v>0</v>
      </c>
      <c r="J155" s="21">
        <v>0</v>
      </c>
      <c r="K155" s="40">
        <v>0</v>
      </c>
      <c r="L155" s="21">
        <v>0</v>
      </c>
      <c r="M155" s="21">
        <v>0</v>
      </c>
      <c r="N155" s="21">
        <v>0</v>
      </c>
      <c r="O155" s="21">
        <v>0</v>
      </c>
      <c r="P155" s="21">
        <v>0</v>
      </c>
      <c r="Q155" s="21">
        <v>0</v>
      </c>
      <c r="R155" s="21">
        <v>0</v>
      </c>
      <c r="S155" s="21">
        <v>0</v>
      </c>
      <c r="T155" s="21">
        <v>0</v>
      </c>
      <c r="U155" s="21">
        <v>300000</v>
      </c>
    </row>
    <row r="156" spans="1:21" ht="21.95" customHeight="1">
      <c r="A156" s="19" t="s">
        <v>889</v>
      </c>
      <c r="B156" s="24" t="s">
        <v>514</v>
      </c>
      <c r="C156" s="1">
        <f t="shared" si="57"/>
        <v>300000</v>
      </c>
      <c r="D156" s="21">
        <f t="shared" si="56"/>
        <v>0</v>
      </c>
      <c r="E156" s="21">
        <v>0</v>
      </c>
      <c r="F156" s="21">
        <v>0</v>
      </c>
      <c r="G156" s="21">
        <v>0</v>
      </c>
      <c r="H156" s="21">
        <v>0</v>
      </c>
      <c r="I156" s="21">
        <v>0</v>
      </c>
      <c r="J156" s="21">
        <v>0</v>
      </c>
      <c r="K156" s="40">
        <v>0</v>
      </c>
      <c r="L156" s="21">
        <v>0</v>
      </c>
      <c r="M156" s="21">
        <v>0</v>
      </c>
      <c r="N156" s="21">
        <v>0</v>
      </c>
      <c r="O156" s="21">
        <v>0</v>
      </c>
      <c r="P156" s="21">
        <v>0</v>
      </c>
      <c r="Q156" s="21">
        <v>0</v>
      </c>
      <c r="R156" s="21">
        <v>0</v>
      </c>
      <c r="S156" s="21">
        <v>0</v>
      </c>
      <c r="T156" s="21">
        <v>0</v>
      </c>
      <c r="U156" s="21">
        <v>300000</v>
      </c>
    </row>
    <row r="157" spans="1:21" ht="21.95" customHeight="1">
      <c r="A157" s="19" t="s">
        <v>890</v>
      </c>
      <c r="B157" s="24" t="s">
        <v>434</v>
      </c>
      <c r="C157" s="1">
        <f t="shared" si="57"/>
        <v>300000</v>
      </c>
      <c r="D157" s="21">
        <f t="shared" si="56"/>
        <v>0</v>
      </c>
      <c r="E157" s="21">
        <v>0</v>
      </c>
      <c r="F157" s="21">
        <v>0</v>
      </c>
      <c r="G157" s="21">
        <v>0</v>
      </c>
      <c r="H157" s="21">
        <v>0</v>
      </c>
      <c r="I157" s="21">
        <v>0</v>
      </c>
      <c r="J157" s="21">
        <v>0</v>
      </c>
      <c r="K157" s="40">
        <v>0</v>
      </c>
      <c r="L157" s="21">
        <v>0</v>
      </c>
      <c r="M157" s="21">
        <v>0</v>
      </c>
      <c r="N157" s="21">
        <v>0</v>
      </c>
      <c r="O157" s="21">
        <v>0</v>
      </c>
      <c r="P157" s="21">
        <v>0</v>
      </c>
      <c r="Q157" s="21">
        <v>0</v>
      </c>
      <c r="R157" s="21">
        <v>0</v>
      </c>
      <c r="S157" s="21">
        <v>0</v>
      </c>
      <c r="T157" s="21">
        <v>0</v>
      </c>
      <c r="U157" s="21">
        <v>300000</v>
      </c>
    </row>
    <row r="158" spans="1:21" ht="21.95" customHeight="1">
      <c r="A158" s="19" t="s">
        <v>891</v>
      </c>
      <c r="B158" s="30" t="s">
        <v>495</v>
      </c>
      <c r="C158" s="1">
        <f t="shared" si="57"/>
        <v>300000</v>
      </c>
      <c r="D158" s="21">
        <f t="shared" si="56"/>
        <v>0</v>
      </c>
      <c r="E158" s="21">
        <v>0</v>
      </c>
      <c r="F158" s="21">
        <v>0</v>
      </c>
      <c r="G158" s="21">
        <v>0</v>
      </c>
      <c r="H158" s="21">
        <v>0</v>
      </c>
      <c r="I158" s="21">
        <v>0</v>
      </c>
      <c r="J158" s="21">
        <v>0</v>
      </c>
      <c r="K158" s="40">
        <v>0</v>
      </c>
      <c r="L158" s="21">
        <v>0</v>
      </c>
      <c r="M158" s="21">
        <v>0</v>
      </c>
      <c r="N158" s="21">
        <v>0</v>
      </c>
      <c r="O158" s="21">
        <v>0</v>
      </c>
      <c r="P158" s="21">
        <v>0</v>
      </c>
      <c r="Q158" s="21">
        <v>0</v>
      </c>
      <c r="R158" s="21">
        <v>0</v>
      </c>
      <c r="S158" s="21">
        <v>0</v>
      </c>
      <c r="T158" s="21">
        <v>0</v>
      </c>
      <c r="U158" s="21">
        <v>300000</v>
      </c>
    </row>
    <row r="159" spans="1:21" ht="21.95" customHeight="1">
      <c r="A159" s="19" t="s">
        <v>1674</v>
      </c>
      <c r="B159" s="30" t="s">
        <v>523</v>
      </c>
      <c r="C159" s="1">
        <f t="shared" si="57"/>
        <v>6758070</v>
      </c>
      <c r="D159" s="21">
        <f t="shared" si="56"/>
        <v>0</v>
      </c>
      <c r="E159" s="21">
        <v>0</v>
      </c>
      <c r="F159" s="21">
        <v>0</v>
      </c>
      <c r="G159" s="21">
        <v>0</v>
      </c>
      <c r="H159" s="21">
        <v>0</v>
      </c>
      <c r="I159" s="21">
        <v>0</v>
      </c>
      <c r="J159" s="21">
        <v>0</v>
      </c>
      <c r="K159" s="40">
        <v>0</v>
      </c>
      <c r="L159" s="21">
        <v>0</v>
      </c>
      <c r="M159" s="21">
        <v>1161.9000000000001</v>
      </c>
      <c r="N159" s="21">
        <v>6158070</v>
      </c>
      <c r="O159" s="21">
        <v>0</v>
      </c>
      <c r="P159" s="21">
        <v>0</v>
      </c>
      <c r="Q159" s="21">
        <v>0</v>
      </c>
      <c r="R159" s="21">
        <v>0</v>
      </c>
      <c r="S159" s="21">
        <v>0</v>
      </c>
      <c r="T159" s="21">
        <v>0</v>
      </c>
      <c r="U159" s="21">
        <v>600000</v>
      </c>
    </row>
    <row r="160" spans="1:21" ht="21.95" customHeight="1">
      <c r="A160" s="19" t="s">
        <v>1675</v>
      </c>
      <c r="B160" s="30" t="s">
        <v>525</v>
      </c>
      <c r="C160" s="1">
        <f t="shared" si="57"/>
        <v>16655539.5</v>
      </c>
      <c r="D160" s="21">
        <f t="shared" si="56"/>
        <v>3664609.5</v>
      </c>
      <c r="E160" s="21">
        <f>350*1980.87</f>
        <v>693304.5</v>
      </c>
      <c r="F160" s="21">
        <f>800*1980.87</f>
        <v>1584696</v>
      </c>
      <c r="G160" s="21">
        <f>300*1980.87</f>
        <v>594261</v>
      </c>
      <c r="H160" s="21">
        <f>500*0</f>
        <v>0</v>
      </c>
      <c r="I160" s="21">
        <f>400*1980.87</f>
        <v>792348</v>
      </c>
      <c r="J160" s="21">
        <f>350*0</f>
        <v>0</v>
      </c>
      <c r="K160" s="40">
        <v>0</v>
      </c>
      <c r="L160" s="21">
        <v>0</v>
      </c>
      <c r="M160" s="21">
        <v>1748.1</v>
      </c>
      <c r="N160" s="21">
        <v>9264930</v>
      </c>
      <c r="O160" s="21">
        <v>0</v>
      </c>
      <c r="P160" s="21">
        <v>0</v>
      </c>
      <c r="Q160" s="21">
        <v>1200</v>
      </c>
      <c r="R160" s="21">
        <f>Q160*2605</f>
        <v>3126000</v>
      </c>
      <c r="S160" s="21">
        <v>0</v>
      </c>
      <c r="T160" s="21">
        <v>0</v>
      </c>
      <c r="U160" s="21">
        <v>600000</v>
      </c>
    </row>
    <row r="161" spans="1:21" ht="21.95" customHeight="1">
      <c r="A161" s="19" t="s">
        <v>1676</v>
      </c>
      <c r="B161" s="24" t="s">
        <v>413</v>
      </c>
      <c r="C161" s="1">
        <f t="shared" si="57"/>
        <v>7082115</v>
      </c>
      <c r="D161" s="21">
        <f t="shared" si="56"/>
        <v>2135210</v>
      </c>
      <c r="E161" s="21">
        <f>350*908.6</f>
        <v>318010</v>
      </c>
      <c r="F161" s="21">
        <f>908.6*800</f>
        <v>726880</v>
      </c>
      <c r="G161" s="21">
        <f>908.6*300</f>
        <v>272580</v>
      </c>
      <c r="H161" s="21">
        <f>908.6*500</f>
        <v>454300</v>
      </c>
      <c r="I161" s="21">
        <f>908.6*400</f>
        <v>363440</v>
      </c>
      <c r="J161" s="21">
        <f>350*0</f>
        <v>0</v>
      </c>
      <c r="K161" s="40">
        <v>0</v>
      </c>
      <c r="L161" s="21">
        <v>0</v>
      </c>
      <c r="M161" s="21">
        <v>550</v>
      </c>
      <c r="N161" s="21">
        <f>M161*5500</f>
        <v>3025000</v>
      </c>
      <c r="O161" s="21">
        <v>0</v>
      </c>
      <c r="P161" s="21">
        <v>0</v>
      </c>
      <c r="Q161" s="21">
        <v>661</v>
      </c>
      <c r="R161" s="21">
        <v>1721905</v>
      </c>
      <c r="S161" s="21">
        <v>0</v>
      </c>
      <c r="T161" s="21">
        <v>0</v>
      </c>
      <c r="U161" s="21">
        <v>200000</v>
      </c>
    </row>
    <row r="162" spans="1:21" ht="21.95" customHeight="1">
      <c r="A162" s="19" t="s">
        <v>1677</v>
      </c>
      <c r="B162" s="24" t="s">
        <v>403</v>
      </c>
      <c r="C162" s="1">
        <f t="shared" si="57"/>
        <v>5013050</v>
      </c>
      <c r="D162" s="21">
        <f t="shared" si="56"/>
        <v>0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40">
        <v>0</v>
      </c>
      <c r="L162" s="21">
        <v>0</v>
      </c>
      <c r="M162" s="21">
        <v>1458.5</v>
      </c>
      <c r="N162" s="21">
        <v>4813050</v>
      </c>
      <c r="O162" s="21">
        <v>0</v>
      </c>
      <c r="P162" s="21">
        <v>0</v>
      </c>
      <c r="Q162" s="21">
        <v>0</v>
      </c>
      <c r="R162" s="21">
        <v>0</v>
      </c>
      <c r="S162" s="21">
        <v>0</v>
      </c>
      <c r="T162" s="21">
        <v>0</v>
      </c>
      <c r="U162" s="21">
        <v>200000</v>
      </c>
    </row>
    <row r="163" spans="1:21" ht="21.95" customHeight="1">
      <c r="A163" s="19" t="s">
        <v>1678</v>
      </c>
      <c r="B163" s="24" t="s">
        <v>515</v>
      </c>
      <c r="C163" s="1">
        <f t="shared" si="57"/>
        <v>3473810</v>
      </c>
      <c r="D163" s="21">
        <f t="shared" si="56"/>
        <v>0</v>
      </c>
      <c r="E163" s="21">
        <v>0</v>
      </c>
      <c r="F163" s="21">
        <v>0</v>
      </c>
      <c r="G163" s="21">
        <v>0</v>
      </c>
      <c r="H163" s="21">
        <v>0</v>
      </c>
      <c r="I163" s="21">
        <v>0</v>
      </c>
      <c r="J163" s="21">
        <v>0</v>
      </c>
      <c r="K163" s="40">
        <v>0</v>
      </c>
      <c r="L163" s="21">
        <v>0</v>
      </c>
      <c r="M163" s="21">
        <v>617.70000000000005</v>
      </c>
      <c r="N163" s="21">
        <v>3273810</v>
      </c>
      <c r="O163" s="21">
        <v>0</v>
      </c>
      <c r="P163" s="21">
        <v>0</v>
      </c>
      <c r="Q163" s="21">
        <v>0</v>
      </c>
      <c r="R163" s="21">
        <v>0</v>
      </c>
      <c r="S163" s="21">
        <v>0</v>
      </c>
      <c r="T163" s="21">
        <v>0</v>
      </c>
      <c r="U163" s="21">
        <v>200000</v>
      </c>
    </row>
    <row r="164" spans="1:21" ht="21.95" customHeight="1">
      <c r="A164" s="19" t="s">
        <v>892</v>
      </c>
      <c r="B164" s="24" t="s">
        <v>516</v>
      </c>
      <c r="C164" s="1">
        <f t="shared" si="57"/>
        <v>2346500</v>
      </c>
      <c r="D164" s="21">
        <f t="shared" si="56"/>
        <v>0</v>
      </c>
      <c r="E164" s="21">
        <v>0</v>
      </c>
      <c r="F164" s="21">
        <v>0</v>
      </c>
      <c r="G164" s="21">
        <v>0</v>
      </c>
      <c r="H164" s="21">
        <v>0</v>
      </c>
      <c r="I164" s="21">
        <v>0</v>
      </c>
      <c r="J164" s="21">
        <v>0</v>
      </c>
      <c r="K164" s="40">
        <v>0</v>
      </c>
      <c r="L164" s="21">
        <v>0</v>
      </c>
      <c r="M164" s="21">
        <v>405</v>
      </c>
      <c r="N164" s="21">
        <f>M164*5300</f>
        <v>2146500</v>
      </c>
      <c r="O164" s="21">
        <v>0</v>
      </c>
      <c r="P164" s="21">
        <v>0</v>
      </c>
      <c r="Q164" s="21">
        <v>0</v>
      </c>
      <c r="R164" s="21">
        <v>0</v>
      </c>
      <c r="S164" s="21">
        <v>0</v>
      </c>
      <c r="T164" s="21">
        <v>0</v>
      </c>
      <c r="U164" s="21">
        <v>200000</v>
      </c>
    </row>
    <row r="165" spans="1:21" ht="21.95" customHeight="1">
      <c r="A165" s="19" t="s">
        <v>1679</v>
      </c>
      <c r="B165" s="24" t="s">
        <v>478</v>
      </c>
      <c r="C165" s="1">
        <f t="shared" si="57"/>
        <v>2346500</v>
      </c>
      <c r="D165" s="21">
        <f t="shared" si="56"/>
        <v>0</v>
      </c>
      <c r="E165" s="21">
        <v>0</v>
      </c>
      <c r="F165" s="21">
        <v>0</v>
      </c>
      <c r="G165" s="21">
        <v>0</v>
      </c>
      <c r="H165" s="21">
        <v>0</v>
      </c>
      <c r="I165" s="21">
        <v>0</v>
      </c>
      <c r="J165" s="21">
        <v>0</v>
      </c>
      <c r="K165" s="40">
        <v>0</v>
      </c>
      <c r="L165" s="21">
        <v>0</v>
      </c>
      <c r="M165" s="21">
        <v>405</v>
      </c>
      <c r="N165" s="21">
        <f>M165*5300</f>
        <v>2146500</v>
      </c>
      <c r="O165" s="21">
        <v>0</v>
      </c>
      <c r="P165" s="21">
        <v>0</v>
      </c>
      <c r="Q165" s="21">
        <v>0</v>
      </c>
      <c r="R165" s="21">
        <v>0</v>
      </c>
      <c r="S165" s="21">
        <v>0</v>
      </c>
      <c r="T165" s="21">
        <v>0</v>
      </c>
      <c r="U165" s="21">
        <v>200000</v>
      </c>
    </row>
    <row r="166" spans="1:21" ht="21.95" customHeight="1">
      <c r="A166" s="19" t="s">
        <v>893</v>
      </c>
      <c r="B166" s="24" t="s">
        <v>517</v>
      </c>
      <c r="C166" s="1">
        <f t="shared" si="57"/>
        <v>1708380.0000000002</v>
      </c>
      <c r="D166" s="21">
        <f t="shared" si="56"/>
        <v>0</v>
      </c>
      <c r="E166" s="21">
        <v>0</v>
      </c>
      <c r="F166" s="21">
        <v>0</v>
      </c>
      <c r="G166" s="21">
        <v>0</v>
      </c>
      <c r="H166" s="21">
        <v>0</v>
      </c>
      <c r="I166" s="21">
        <v>0</v>
      </c>
      <c r="J166" s="21">
        <v>0</v>
      </c>
      <c r="K166" s="40">
        <v>0</v>
      </c>
      <c r="L166" s="21">
        <v>0</v>
      </c>
      <c r="M166" s="21">
        <v>284.60000000000002</v>
      </c>
      <c r="N166" s="21">
        <f>M166*5300</f>
        <v>1508380.0000000002</v>
      </c>
      <c r="O166" s="21">
        <v>0</v>
      </c>
      <c r="P166" s="21">
        <v>0</v>
      </c>
      <c r="Q166" s="21">
        <v>0</v>
      </c>
      <c r="R166" s="21">
        <v>0</v>
      </c>
      <c r="S166" s="21">
        <v>0</v>
      </c>
      <c r="T166" s="21">
        <v>0</v>
      </c>
      <c r="U166" s="21">
        <v>200000</v>
      </c>
    </row>
    <row r="167" spans="1:21" ht="21.95" customHeight="1">
      <c r="A167" s="19" t="s">
        <v>894</v>
      </c>
      <c r="B167" s="24" t="s">
        <v>518</v>
      </c>
      <c r="C167" s="1">
        <f t="shared" si="57"/>
        <v>1708380.0000000002</v>
      </c>
      <c r="D167" s="21">
        <f t="shared" si="56"/>
        <v>0</v>
      </c>
      <c r="E167" s="21">
        <v>0</v>
      </c>
      <c r="F167" s="21">
        <v>0</v>
      </c>
      <c r="G167" s="21">
        <v>0</v>
      </c>
      <c r="H167" s="21">
        <v>0</v>
      </c>
      <c r="I167" s="21">
        <v>0</v>
      </c>
      <c r="J167" s="21">
        <v>0</v>
      </c>
      <c r="K167" s="40">
        <v>0</v>
      </c>
      <c r="L167" s="21">
        <v>0</v>
      </c>
      <c r="M167" s="21">
        <v>284.60000000000002</v>
      </c>
      <c r="N167" s="21">
        <f>M167*5300</f>
        <v>1508380.0000000002</v>
      </c>
      <c r="O167" s="21">
        <v>0</v>
      </c>
      <c r="P167" s="21">
        <v>0</v>
      </c>
      <c r="Q167" s="21">
        <v>0</v>
      </c>
      <c r="R167" s="21">
        <v>0</v>
      </c>
      <c r="S167" s="21">
        <v>0</v>
      </c>
      <c r="T167" s="21">
        <v>0</v>
      </c>
      <c r="U167" s="21">
        <v>200000</v>
      </c>
    </row>
    <row r="168" spans="1:21" ht="21.95" customHeight="1">
      <c r="A168" s="19" t="s">
        <v>1680</v>
      </c>
      <c r="B168" s="24" t="s">
        <v>456</v>
      </c>
      <c r="C168" s="1">
        <f t="shared" si="57"/>
        <v>300000</v>
      </c>
      <c r="D168" s="21">
        <f t="shared" si="56"/>
        <v>0</v>
      </c>
      <c r="E168" s="21">
        <v>0</v>
      </c>
      <c r="F168" s="21">
        <v>0</v>
      </c>
      <c r="G168" s="21">
        <v>0</v>
      </c>
      <c r="H168" s="21">
        <v>0</v>
      </c>
      <c r="I168" s="21">
        <v>0</v>
      </c>
      <c r="J168" s="21">
        <v>0</v>
      </c>
      <c r="K168" s="40">
        <v>0</v>
      </c>
      <c r="L168" s="21">
        <v>0</v>
      </c>
      <c r="M168" s="21">
        <v>0</v>
      </c>
      <c r="N168" s="21">
        <v>0</v>
      </c>
      <c r="O168" s="21">
        <v>0</v>
      </c>
      <c r="P168" s="21">
        <v>0</v>
      </c>
      <c r="Q168" s="21">
        <v>0</v>
      </c>
      <c r="R168" s="21">
        <v>0</v>
      </c>
      <c r="S168" s="21">
        <v>0</v>
      </c>
      <c r="T168" s="21">
        <v>0</v>
      </c>
      <c r="U168" s="21">
        <v>300000</v>
      </c>
    </row>
    <row r="169" spans="1:21" ht="21.95" customHeight="1">
      <c r="A169" s="19" t="s">
        <v>1681</v>
      </c>
      <c r="B169" s="24" t="s">
        <v>457</v>
      </c>
      <c r="C169" s="1">
        <f t="shared" si="57"/>
        <v>300000</v>
      </c>
      <c r="D169" s="21">
        <f t="shared" si="56"/>
        <v>0</v>
      </c>
      <c r="E169" s="21">
        <v>0</v>
      </c>
      <c r="F169" s="21">
        <v>0</v>
      </c>
      <c r="G169" s="21">
        <v>0</v>
      </c>
      <c r="H169" s="21">
        <v>0</v>
      </c>
      <c r="I169" s="21">
        <v>0</v>
      </c>
      <c r="J169" s="21">
        <v>0</v>
      </c>
      <c r="K169" s="40">
        <v>0</v>
      </c>
      <c r="L169" s="21">
        <v>0</v>
      </c>
      <c r="M169" s="21">
        <v>0</v>
      </c>
      <c r="N169" s="21">
        <v>0</v>
      </c>
      <c r="O169" s="21">
        <v>0</v>
      </c>
      <c r="P169" s="21">
        <v>0</v>
      </c>
      <c r="Q169" s="21">
        <v>0</v>
      </c>
      <c r="R169" s="21">
        <v>0</v>
      </c>
      <c r="S169" s="21">
        <v>0</v>
      </c>
      <c r="T169" s="21">
        <v>0</v>
      </c>
      <c r="U169" s="21">
        <v>300000</v>
      </c>
    </row>
    <row r="170" spans="1:21" ht="21.95" customHeight="1">
      <c r="A170" s="19" t="s">
        <v>895</v>
      </c>
      <c r="B170" s="24" t="s">
        <v>409</v>
      </c>
      <c r="C170" s="1">
        <f t="shared" si="57"/>
        <v>300000</v>
      </c>
      <c r="D170" s="21">
        <f t="shared" si="56"/>
        <v>0</v>
      </c>
      <c r="E170" s="21">
        <v>0</v>
      </c>
      <c r="F170" s="21">
        <v>0</v>
      </c>
      <c r="G170" s="21">
        <v>0</v>
      </c>
      <c r="H170" s="21">
        <v>0</v>
      </c>
      <c r="I170" s="21">
        <v>0</v>
      </c>
      <c r="J170" s="21">
        <v>0</v>
      </c>
      <c r="K170" s="40">
        <v>0</v>
      </c>
      <c r="L170" s="21">
        <v>0</v>
      </c>
      <c r="M170" s="21">
        <v>0</v>
      </c>
      <c r="N170" s="21">
        <v>0</v>
      </c>
      <c r="O170" s="21">
        <v>0</v>
      </c>
      <c r="P170" s="21">
        <v>0</v>
      </c>
      <c r="Q170" s="21">
        <v>0</v>
      </c>
      <c r="R170" s="21">
        <v>0</v>
      </c>
      <c r="S170" s="21">
        <v>0</v>
      </c>
      <c r="T170" s="21">
        <v>0</v>
      </c>
      <c r="U170" s="21">
        <v>300000</v>
      </c>
    </row>
    <row r="171" spans="1:21" ht="21.95" customHeight="1">
      <c r="A171" s="19" t="s">
        <v>896</v>
      </c>
      <c r="B171" s="24" t="s">
        <v>704</v>
      </c>
      <c r="C171" s="1">
        <f t="shared" si="57"/>
        <v>300000</v>
      </c>
      <c r="D171" s="21">
        <f t="shared" si="56"/>
        <v>0</v>
      </c>
      <c r="E171" s="21">
        <v>0</v>
      </c>
      <c r="F171" s="21">
        <v>0</v>
      </c>
      <c r="G171" s="21">
        <v>0</v>
      </c>
      <c r="H171" s="21">
        <v>0</v>
      </c>
      <c r="I171" s="21">
        <v>0</v>
      </c>
      <c r="J171" s="21">
        <v>0</v>
      </c>
      <c r="K171" s="40">
        <v>0</v>
      </c>
      <c r="L171" s="21">
        <v>0</v>
      </c>
      <c r="M171" s="21">
        <v>0</v>
      </c>
      <c r="N171" s="21">
        <v>0</v>
      </c>
      <c r="O171" s="21">
        <v>0</v>
      </c>
      <c r="P171" s="21">
        <v>0</v>
      </c>
      <c r="Q171" s="21">
        <v>0</v>
      </c>
      <c r="R171" s="21">
        <v>0</v>
      </c>
      <c r="S171" s="21">
        <v>0</v>
      </c>
      <c r="T171" s="21">
        <v>0</v>
      </c>
      <c r="U171" s="21">
        <v>300000</v>
      </c>
    </row>
    <row r="172" spans="1:21" ht="21.95" customHeight="1">
      <c r="A172" s="19" t="s">
        <v>897</v>
      </c>
      <c r="B172" s="24" t="s">
        <v>465</v>
      </c>
      <c r="C172" s="1">
        <f t="shared" si="57"/>
        <v>3469320</v>
      </c>
      <c r="D172" s="21">
        <f t="shared" si="56"/>
        <v>3269320</v>
      </c>
      <c r="E172" s="21">
        <f>350*1391.2</f>
        <v>486920</v>
      </c>
      <c r="F172" s="21">
        <f>800*1391.2</f>
        <v>1112960</v>
      </c>
      <c r="G172" s="21">
        <f>300*1391.2</f>
        <v>417360</v>
      </c>
      <c r="H172" s="21">
        <f>500*1391.2</f>
        <v>695600</v>
      </c>
      <c r="I172" s="21">
        <f>400*1391.2</f>
        <v>556480</v>
      </c>
      <c r="J172" s="21">
        <f>350*0</f>
        <v>0</v>
      </c>
      <c r="K172" s="40">
        <v>0</v>
      </c>
      <c r="L172" s="21">
        <v>0</v>
      </c>
      <c r="M172" s="21">
        <v>0</v>
      </c>
      <c r="N172" s="21">
        <v>0</v>
      </c>
      <c r="O172" s="21">
        <v>0</v>
      </c>
      <c r="P172" s="21">
        <v>0</v>
      </c>
      <c r="Q172" s="21">
        <v>0</v>
      </c>
      <c r="R172" s="21">
        <v>0</v>
      </c>
      <c r="S172" s="21">
        <v>0</v>
      </c>
      <c r="T172" s="21">
        <v>0</v>
      </c>
      <c r="U172" s="21">
        <v>200000</v>
      </c>
    </row>
    <row r="173" spans="1:21" ht="21.95" customHeight="1">
      <c r="A173" s="19" t="s">
        <v>898</v>
      </c>
      <c r="B173" s="24" t="s">
        <v>479</v>
      </c>
      <c r="C173" s="1">
        <f t="shared" si="57"/>
        <v>11154220</v>
      </c>
      <c r="D173" s="21">
        <f t="shared" si="56"/>
        <v>10954220</v>
      </c>
      <c r="E173" s="21">
        <f>350*5921.2</f>
        <v>2072420</v>
      </c>
      <c r="F173" s="21">
        <f>800*5921.2</f>
        <v>4736960</v>
      </c>
      <c r="G173" s="21">
        <f>300*5921.2</f>
        <v>1776360</v>
      </c>
      <c r="H173" s="21">
        <f>500*0</f>
        <v>0</v>
      </c>
      <c r="I173" s="21">
        <f>400*5921.2</f>
        <v>2368480</v>
      </c>
      <c r="J173" s="21">
        <f>350*0</f>
        <v>0</v>
      </c>
      <c r="K173" s="40">
        <v>0</v>
      </c>
      <c r="L173" s="21">
        <v>0</v>
      </c>
      <c r="M173" s="21">
        <v>0</v>
      </c>
      <c r="N173" s="21">
        <v>0</v>
      </c>
      <c r="O173" s="21">
        <v>0</v>
      </c>
      <c r="P173" s="21">
        <v>0</v>
      </c>
      <c r="Q173" s="21">
        <v>0</v>
      </c>
      <c r="R173" s="21">
        <v>0</v>
      </c>
      <c r="S173" s="21">
        <v>0</v>
      </c>
      <c r="T173" s="21">
        <v>0</v>
      </c>
      <c r="U173" s="21">
        <v>200000</v>
      </c>
    </row>
    <row r="174" spans="1:21" ht="21.95" customHeight="1">
      <c r="A174" s="19" t="s">
        <v>1682</v>
      </c>
      <c r="B174" s="30" t="s">
        <v>400</v>
      </c>
      <c r="C174" s="1">
        <f t="shared" si="57"/>
        <v>18029356</v>
      </c>
      <c r="D174" s="21">
        <f t="shared" si="56"/>
        <v>17829356</v>
      </c>
      <c r="E174" s="21">
        <f>350*7586.96</f>
        <v>2655436</v>
      </c>
      <c r="F174" s="21">
        <f>800*7586.96</f>
        <v>6069568</v>
      </c>
      <c r="G174" s="21">
        <f>300*7586.96</f>
        <v>2276088</v>
      </c>
      <c r="H174" s="21">
        <f>500*7586.96</f>
        <v>3793480</v>
      </c>
      <c r="I174" s="21">
        <f>400*7586.96</f>
        <v>3034784</v>
      </c>
      <c r="J174" s="21">
        <f>350*0</f>
        <v>0</v>
      </c>
      <c r="K174" s="40">
        <v>0</v>
      </c>
      <c r="L174" s="21">
        <v>0</v>
      </c>
      <c r="M174" s="21">
        <v>0</v>
      </c>
      <c r="N174" s="21">
        <v>0</v>
      </c>
      <c r="O174" s="21">
        <v>0</v>
      </c>
      <c r="P174" s="21">
        <v>0</v>
      </c>
      <c r="Q174" s="21">
        <v>0</v>
      </c>
      <c r="R174" s="21">
        <v>0</v>
      </c>
      <c r="S174" s="21">
        <v>0</v>
      </c>
      <c r="T174" s="21">
        <v>0</v>
      </c>
      <c r="U174" s="21">
        <v>200000</v>
      </c>
    </row>
    <row r="175" spans="1:21" ht="21.95" customHeight="1">
      <c r="A175" s="19" t="s">
        <v>899</v>
      </c>
      <c r="B175" s="35" t="s">
        <v>1556</v>
      </c>
      <c r="C175" s="1">
        <f t="shared" si="57"/>
        <v>15841445.9</v>
      </c>
      <c r="D175" s="21">
        <f t="shared" si="56"/>
        <v>0</v>
      </c>
      <c r="E175" s="21">
        <v>0</v>
      </c>
      <c r="F175" s="21">
        <v>0</v>
      </c>
      <c r="G175" s="21">
        <v>0</v>
      </c>
      <c r="H175" s="21">
        <v>0</v>
      </c>
      <c r="I175" s="21">
        <v>0</v>
      </c>
      <c r="J175" s="21">
        <v>0</v>
      </c>
      <c r="K175" s="40">
        <v>0</v>
      </c>
      <c r="L175" s="21">
        <v>0</v>
      </c>
      <c r="M175" s="21">
        <v>1337</v>
      </c>
      <c r="N175" s="21">
        <v>7086100</v>
      </c>
      <c r="O175" s="21">
        <v>0</v>
      </c>
      <c r="P175" s="21">
        <v>0</v>
      </c>
      <c r="Q175" s="21">
        <v>3066</v>
      </c>
      <c r="R175" s="21">
        <v>7986930</v>
      </c>
      <c r="S175" s="21">
        <v>0</v>
      </c>
      <c r="T175" s="21">
        <v>0</v>
      </c>
      <c r="U175" s="21">
        <v>768415.9</v>
      </c>
    </row>
    <row r="176" spans="1:21" ht="21.95" customHeight="1">
      <c r="A176" s="19" t="s">
        <v>1683</v>
      </c>
      <c r="B176" s="35" t="s">
        <v>1558</v>
      </c>
      <c r="C176" s="1">
        <f t="shared" si="57"/>
        <v>6420786.3100000005</v>
      </c>
      <c r="D176" s="21">
        <f t="shared" si="56"/>
        <v>1484070</v>
      </c>
      <c r="E176" s="21">
        <f>350*802.2</f>
        <v>280770</v>
      </c>
      <c r="F176" s="21">
        <f>800*802.2</f>
        <v>641760</v>
      </c>
      <c r="G176" s="21">
        <f>300*802.2</f>
        <v>240660</v>
      </c>
      <c r="H176" s="21">
        <f>500*0</f>
        <v>0</v>
      </c>
      <c r="I176" s="21">
        <f>400*802.2</f>
        <v>320880</v>
      </c>
      <c r="J176" s="21">
        <f>350*0</f>
        <v>0</v>
      </c>
      <c r="K176" s="40">
        <v>0</v>
      </c>
      <c r="L176" s="21">
        <v>0</v>
      </c>
      <c r="M176" s="21">
        <v>401</v>
      </c>
      <c r="N176" s="21">
        <v>2125300</v>
      </c>
      <c r="O176" s="21">
        <v>0</v>
      </c>
      <c r="P176" s="21">
        <v>0</v>
      </c>
      <c r="Q176" s="21">
        <v>823</v>
      </c>
      <c r="R176" s="21">
        <v>2143915</v>
      </c>
      <c r="S176" s="21">
        <v>0</v>
      </c>
      <c r="T176" s="21">
        <v>0</v>
      </c>
      <c r="U176" s="21">
        <v>667501.31000000006</v>
      </c>
    </row>
    <row r="177" spans="1:21" ht="21.95" customHeight="1">
      <c r="A177" s="19" t="s">
        <v>1684</v>
      </c>
      <c r="B177" s="24" t="s">
        <v>402</v>
      </c>
      <c r="C177" s="1">
        <f t="shared" si="57"/>
        <v>9932239.5</v>
      </c>
      <c r="D177" s="21">
        <f t="shared" si="56"/>
        <v>9732239.5</v>
      </c>
      <c r="E177" s="21">
        <f>350*5260.67</f>
        <v>1841234.5</v>
      </c>
      <c r="F177" s="21">
        <f>800*5260.67</f>
        <v>4208536</v>
      </c>
      <c r="G177" s="21">
        <f>300*5260.67</f>
        <v>1578201</v>
      </c>
      <c r="H177" s="21">
        <f>500*0</f>
        <v>0</v>
      </c>
      <c r="I177" s="21">
        <f>400*5260.67</f>
        <v>2104268</v>
      </c>
      <c r="J177" s="21">
        <f>350*0</f>
        <v>0</v>
      </c>
      <c r="K177" s="40">
        <v>0</v>
      </c>
      <c r="L177" s="21">
        <v>0</v>
      </c>
      <c r="M177" s="21">
        <v>0</v>
      </c>
      <c r="N177" s="21">
        <v>0</v>
      </c>
      <c r="O177" s="21">
        <v>0</v>
      </c>
      <c r="P177" s="21">
        <v>0</v>
      </c>
      <c r="Q177" s="21">
        <v>0</v>
      </c>
      <c r="R177" s="21">
        <v>0</v>
      </c>
      <c r="S177" s="21">
        <v>0</v>
      </c>
      <c r="T177" s="21">
        <v>0</v>
      </c>
      <c r="U177" s="21">
        <v>200000</v>
      </c>
    </row>
    <row r="178" spans="1:21" ht="21.95" customHeight="1">
      <c r="A178" s="19" t="s">
        <v>1685</v>
      </c>
      <c r="B178" s="30" t="s">
        <v>469</v>
      </c>
      <c r="C178" s="1">
        <f t="shared" si="57"/>
        <v>6918740</v>
      </c>
      <c r="D178" s="21">
        <f t="shared" si="56"/>
        <v>1653900</v>
      </c>
      <c r="E178" s="21">
        <f>350*894</f>
        <v>312900</v>
      </c>
      <c r="F178" s="21">
        <f>800*894</f>
        <v>715200</v>
      </c>
      <c r="G178" s="21">
        <f>300*894</f>
        <v>268200</v>
      </c>
      <c r="H178" s="21">
        <f>500*0</f>
        <v>0</v>
      </c>
      <c r="I178" s="21">
        <f>400*894</f>
        <v>357600</v>
      </c>
      <c r="J178" s="21">
        <f>350*0</f>
        <v>0</v>
      </c>
      <c r="K178" s="40">
        <v>0</v>
      </c>
      <c r="L178" s="21">
        <v>0</v>
      </c>
      <c r="M178" s="21">
        <v>581.1</v>
      </c>
      <c r="N178" s="21">
        <f>M178*5300</f>
        <v>3079830</v>
      </c>
      <c r="O178" s="21">
        <v>0</v>
      </c>
      <c r="P178" s="21">
        <v>0</v>
      </c>
      <c r="Q178" s="21">
        <v>762</v>
      </c>
      <c r="R178" s="21">
        <f>Q178*2605</f>
        <v>1985010</v>
      </c>
      <c r="S178" s="21">
        <v>0</v>
      </c>
      <c r="T178" s="21">
        <v>0</v>
      </c>
      <c r="U178" s="21">
        <v>200000</v>
      </c>
    </row>
    <row r="179" spans="1:21" ht="21.95" customHeight="1">
      <c r="A179" s="19" t="s">
        <v>1686</v>
      </c>
      <c r="B179" s="30" t="s">
        <v>444</v>
      </c>
      <c r="C179" s="1">
        <f t="shared" si="57"/>
        <v>300000</v>
      </c>
      <c r="D179" s="21">
        <f t="shared" si="56"/>
        <v>0</v>
      </c>
      <c r="E179" s="21">
        <v>0</v>
      </c>
      <c r="F179" s="21">
        <v>0</v>
      </c>
      <c r="G179" s="21">
        <v>0</v>
      </c>
      <c r="H179" s="21">
        <v>0</v>
      </c>
      <c r="I179" s="21">
        <v>0</v>
      </c>
      <c r="J179" s="21">
        <v>0</v>
      </c>
      <c r="K179" s="40">
        <v>0</v>
      </c>
      <c r="L179" s="21">
        <v>0</v>
      </c>
      <c r="M179" s="21">
        <v>0</v>
      </c>
      <c r="N179" s="21">
        <v>0</v>
      </c>
      <c r="O179" s="21">
        <v>0</v>
      </c>
      <c r="P179" s="21">
        <v>0</v>
      </c>
      <c r="Q179" s="21">
        <v>0</v>
      </c>
      <c r="R179" s="21">
        <v>0</v>
      </c>
      <c r="S179" s="21">
        <v>0</v>
      </c>
      <c r="T179" s="21">
        <v>0</v>
      </c>
      <c r="U179" s="21">
        <v>300000</v>
      </c>
    </row>
    <row r="180" spans="1:21" ht="21.95" customHeight="1">
      <c r="A180" s="19" t="s">
        <v>1687</v>
      </c>
      <c r="B180" s="30" t="s">
        <v>449</v>
      </c>
      <c r="C180" s="1">
        <f t="shared" si="57"/>
        <v>300000</v>
      </c>
      <c r="D180" s="21">
        <f t="shared" si="56"/>
        <v>0</v>
      </c>
      <c r="E180" s="21">
        <v>0</v>
      </c>
      <c r="F180" s="21">
        <v>0</v>
      </c>
      <c r="G180" s="21">
        <v>0</v>
      </c>
      <c r="H180" s="21">
        <v>0</v>
      </c>
      <c r="I180" s="21">
        <v>0</v>
      </c>
      <c r="J180" s="21">
        <v>0</v>
      </c>
      <c r="K180" s="40">
        <v>0</v>
      </c>
      <c r="L180" s="21">
        <v>0</v>
      </c>
      <c r="M180" s="21">
        <v>0</v>
      </c>
      <c r="N180" s="21">
        <v>0</v>
      </c>
      <c r="O180" s="21">
        <v>0</v>
      </c>
      <c r="P180" s="21">
        <v>0</v>
      </c>
      <c r="Q180" s="21">
        <v>0</v>
      </c>
      <c r="R180" s="21">
        <v>0</v>
      </c>
      <c r="S180" s="21">
        <v>0</v>
      </c>
      <c r="T180" s="21">
        <v>0</v>
      </c>
      <c r="U180" s="21">
        <v>300000</v>
      </c>
    </row>
    <row r="181" spans="1:21" ht="21.95" customHeight="1">
      <c r="A181" s="19" t="s">
        <v>1688</v>
      </c>
      <c r="B181" s="30" t="s">
        <v>480</v>
      </c>
      <c r="C181" s="1">
        <f t="shared" si="57"/>
        <v>300000</v>
      </c>
      <c r="D181" s="21">
        <f t="shared" si="56"/>
        <v>0</v>
      </c>
      <c r="E181" s="21">
        <v>0</v>
      </c>
      <c r="F181" s="21">
        <v>0</v>
      </c>
      <c r="G181" s="21">
        <v>0</v>
      </c>
      <c r="H181" s="21">
        <v>0</v>
      </c>
      <c r="I181" s="21">
        <v>0</v>
      </c>
      <c r="J181" s="21">
        <v>0</v>
      </c>
      <c r="K181" s="40">
        <v>0</v>
      </c>
      <c r="L181" s="21">
        <v>0</v>
      </c>
      <c r="M181" s="21">
        <v>0</v>
      </c>
      <c r="N181" s="21">
        <v>0</v>
      </c>
      <c r="O181" s="21">
        <v>0</v>
      </c>
      <c r="P181" s="21">
        <v>0</v>
      </c>
      <c r="Q181" s="21">
        <v>0</v>
      </c>
      <c r="R181" s="21">
        <v>0</v>
      </c>
      <c r="S181" s="21">
        <v>0</v>
      </c>
      <c r="T181" s="21">
        <v>0</v>
      </c>
      <c r="U181" s="21">
        <v>300000</v>
      </c>
    </row>
    <row r="182" spans="1:21" ht="21.95" customHeight="1">
      <c r="A182" s="19" t="s">
        <v>1689</v>
      </c>
      <c r="B182" s="24" t="s">
        <v>427</v>
      </c>
      <c r="C182" s="1">
        <f t="shared" si="57"/>
        <v>300000</v>
      </c>
      <c r="D182" s="21">
        <f t="shared" si="56"/>
        <v>0</v>
      </c>
      <c r="E182" s="21">
        <v>0</v>
      </c>
      <c r="F182" s="21">
        <v>0</v>
      </c>
      <c r="G182" s="21">
        <v>0</v>
      </c>
      <c r="H182" s="21">
        <v>0</v>
      </c>
      <c r="I182" s="21">
        <v>0</v>
      </c>
      <c r="J182" s="21">
        <v>0</v>
      </c>
      <c r="K182" s="40">
        <v>0</v>
      </c>
      <c r="L182" s="21">
        <v>0</v>
      </c>
      <c r="M182" s="21">
        <v>0</v>
      </c>
      <c r="N182" s="21">
        <v>0</v>
      </c>
      <c r="O182" s="21">
        <v>0</v>
      </c>
      <c r="P182" s="21">
        <v>0</v>
      </c>
      <c r="Q182" s="21">
        <v>0</v>
      </c>
      <c r="R182" s="21">
        <v>0</v>
      </c>
      <c r="S182" s="21">
        <v>0</v>
      </c>
      <c r="T182" s="21">
        <v>0</v>
      </c>
      <c r="U182" s="21">
        <v>300000</v>
      </c>
    </row>
    <row r="183" spans="1:21" ht="21.95" customHeight="1">
      <c r="A183" s="19" t="s">
        <v>1690</v>
      </c>
      <c r="B183" s="24" t="s">
        <v>428</v>
      </c>
      <c r="C183" s="1">
        <f t="shared" si="57"/>
        <v>300000</v>
      </c>
      <c r="D183" s="21">
        <f t="shared" si="56"/>
        <v>0</v>
      </c>
      <c r="E183" s="21">
        <v>0</v>
      </c>
      <c r="F183" s="21">
        <v>0</v>
      </c>
      <c r="G183" s="21">
        <v>0</v>
      </c>
      <c r="H183" s="21">
        <v>0</v>
      </c>
      <c r="I183" s="21">
        <v>0</v>
      </c>
      <c r="J183" s="21">
        <v>0</v>
      </c>
      <c r="K183" s="40">
        <v>0</v>
      </c>
      <c r="L183" s="21">
        <v>0</v>
      </c>
      <c r="M183" s="21">
        <v>0</v>
      </c>
      <c r="N183" s="21">
        <v>0</v>
      </c>
      <c r="O183" s="21">
        <v>0</v>
      </c>
      <c r="P183" s="21">
        <v>0</v>
      </c>
      <c r="Q183" s="21">
        <v>0</v>
      </c>
      <c r="R183" s="21">
        <v>0</v>
      </c>
      <c r="S183" s="21">
        <v>0</v>
      </c>
      <c r="T183" s="21">
        <v>0</v>
      </c>
      <c r="U183" s="21">
        <v>300000</v>
      </c>
    </row>
    <row r="184" spans="1:21" ht="21.95" customHeight="1">
      <c r="A184" s="19" t="s">
        <v>900</v>
      </c>
      <c r="B184" s="24" t="s">
        <v>429</v>
      </c>
      <c r="C184" s="1">
        <f t="shared" si="57"/>
        <v>300000</v>
      </c>
      <c r="D184" s="21">
        <f t="shared" si="56"/>
        <v>0</v>
      </c>
      <c r="E184" s="21">
        <v>0</v>
      </c>
      <c r="F184" s="21">
        <v>0</v>
      </c>
      <c r="G184" s="21">
        <v>0</v>
      </c>
      <c r="H184" s="21">
        <v>0</v>
      </c>
      <c r="I184" s="21">
        <v>0</v>
      </c>
      <c r="J184" s="21">
        <v>0</v>
      </c>
      <c r="K184" s="40">
        <v>0</v>
      </c>
      <c r="L184" s="21">
        <v>0</v>
      </c>
      <c r="M184" s="21">
        <v>0</v>
      </c>
      <c r="N184" s="21">
        <v>0</v>
      </c>
      <c r="O184" s="21">
        <v>0</v>
      </c>
      <c r="P184" s="21">
        <v>0</v>
      </c>
      <c r="Q184" s="21">
        <v>0</v>
      </c>
      <c r="R184" s="21">
        <v>0</v>
      </c>
      <c r="S184" s="21">
        <v>0</v>
      </c>
      <c r="T184" s="21">
        <v>0</v>
      </c>
      <c r="U184" s="21">
        <v>300000</v>
      </c>
    </row>
    <row r="185" spans="1:21" ht="21.95" customHeight="1">
      <c r="A185" s="19" t="s">
        <v>1691</v>
      </c>
      <c r="B185" s="24" t="s">
        <v>426</v>
      </c>
      <c r="C185" s="1">
        <f t="shared" si="57"/>
        <v>300000</v>
      </c>
      <c r="D185" s="21">
        <f t="shared" si="56"/>
        <v>0</v>
      </c>
      <c r="E185" s="21">
        <v>0</v>
      </c>
      <c r="F185" s="21">
        <v>0</v>
      </c>
      <c r="G185" s="21">
        <v>0</v>
      </c>
      <c r="H185" s="21">
        <v>0</v>
      </c>
      <c r="I185" s="21">
        <v>0</v>
      </c>
      <c r="J185" s="21">
        <v>0</v>
      </c>
      <c r="K185" s="40">
        <v>0</v>
      </c>
      <c r="L185" s="21">
        <v>0</v>
      </c>
      <c r="M185" s="21">
        <v>0</v>
      </c>
      <c r="N185" s="21">
        <v>0</v>
      </c>
      <c r="O185" s="21">
        <v>0</v>
      </c>
      <c r="P185" s="21">
        <v>0</v>
      </c>
      <c r="Q185" s="21">
        <v>0</v>
      </c>
      <c r="R185" s="21">
        <v>0</v>
      </c>
      <c r="S185" s="21">
        <v>0</v>
      </c>
      <c r="T185" s="21">
        <v>0</v>
      </c>
      <c r="U185" s="21">
        <v>300000</v>
      </c>
    </row>
    <row r="186" spans="1:21" ht="21.95" customHeight="1">
      <c r="A186" s="19" t="s">
        <v>1692</v>
      </c>
      <c r="B186" s="24" t="s">
        <v>522</v>
      </c>
      <c r="C186" s="1">
        <f t="shared" si="57"/>
        <v>24159560</v>
      </c>
      <c r="D186" s="21">
        <f t="shared" si="56"/>
        <v>11891000</v>
      </c>
      <c r="E186" s="21">
        <f>350*5060</f>
        <v>1771000</v>
      </c>
      <c r="F186" s="21">
        <f>800*5060</f>
        <v>4048000</v>
      </c>
      <c r="G186" s="21">
        <f>300*5060</f>
        <v>1518000</v>
      </c>
      <c r="H186" s="21">
        <f>500*5060</f>
        <v>2530000</v>
      </c>
      <c r="I186" s="21">
        <f>400*5060</f>
        <v>2024000</v>
      </c>
      <c r="J186" s="21">
        <f>350*0</f>
        <v>0</v>
      </c>
      <c r="K186" s="40">
        <v>0</v>
      </c>
      <c r="L186" s="21">
        <v>0</v>
      </c>
      <c r="M186" s="21">
        <v>1022</v>
      </c>
      <c r="N186" s="21">
        <f>M186*3300</f>
        <v>3372600</v>
      </c>
      <c r="O186" s="21">
        <v>1012</v>
      </c>
      <c r="P186" s="21">
        <f>O186*1200</f>
        <v>1214400</v>
      </c>
      <c r="Q186" s="21">
        <v>2872</v>
      </c>
      <c r="R186" s="21">
        <f>Q186*2605</f>
        <v>7481560</v>
      </c>
      <c r="S186" s="21">
        <v>0</v>
      </c>
      <c r="T186" s="21">
        <v>0</v>
      </c>
      <c r="U186" s="21">
        <v>200000</v>
      </c>
    </row>
    <row r="187" spans="1:21" ht="21.95" customHeight="1">
      <c r="A187" s="19" t="s">
        <v>1693</v>
      </c>
      <c r="B187" s="35" t="s">
        <v>1576</v>
      </c>
      <c r="C187" s="1">
        <f t="shared" si="57"/>
        <v>2155000</v>
      </c>
      <c r="D187" s="21">
        <f t="shared" si="56"/>
        <v>0</v>
      </c>
      <c r="E187" s="21">
        <v>0</v>
      </c>
      <c r="F187" s="21">
        <v>0</v>
      </c>
      <c r="G187" s="21">
        <v>0</v>
      </c>
      <c r="H187" s="21">
        <v>0</v>
      </c>
      <c r="I187" s="21">
        <v>0</v>
      </c>
      <c r="J187" s="21">
        <v>0</v>
      </c>
      <c r="K187" s="40">
        <v>0</v>
      </c>
      <c r="L187" s="21">
        <v>0</v>
      </c>
      <c r="M187" s="21">
        <v>350</v>
      </c>
      <c r="N187" s="21">
        <f>M187*5300</f>
        <v>1855000</v>
      </c>
      <c r="O187" s="21">
        <v>0</v>
      </c>
      <c r="P187" s="21">
        <v>0</v>
      </c>
      <c r="Q187" s="21">
        <v>0</v>
      </c>
      <c r="R187" s="21">
        <v>0</v>
      </c>
      <c r="S187" s="21">
        <v>0</v>
      </c>
      <c r="T187" s="21">
        <v>0</v>
      </c>
      <c r="U187" s="21">
        <v>300000</v>
      </c>
    </row>
    <row r="188" spans="1:21" ht="21.95" customHeight="1">
      <c r="A188" s="19" t="s">
        <v>1694</v>
      </c>
      <c r="B188" s="24" t="s">
        <v>481</v>
      </c>
      <c r="C188" s="1">
        <f t="shared" si="57"/>
        <v>300000</v>
      </c>
      <c r="D188" s="21">
        <f t="shared" si="56"/>
        <v>0</v>
      </c>
      <c r="E188" s="21">
        <v>0</v>
      </c>
      <c r="F188" s="21">
        <v>0</v>
      </c>
      <c r="G188" s="21">
        <v>0</v>
      </c>
      <c r="H188" s="21">
        <v>0</v>
      </c>
      <c r="I188" s="21">
        <v>0</v>
      </c>
      <c r="J188" s="21">
        <v>0</v>
      </c>
      <c r="K188" s="40">
        <v>0</v>
      </c>
      <c r="L188" s="21">
        <v>0</v>
      </c>
      <c r="M188" s="21">
        <v>0</v>
      </c>
      <c r="N188" s="21">
        <v>0</v>
      </c>
      <c r="O188" s="21">
        <v>0</v>
      </c>
      <c r="P188" s="21">
        <v>0</v>
      </c>
      <c r="Q188" s="21">
        <v>0</v>
      </c>
      <c r="R188" s="21">
        <v>0</v>
      </c>
      <c r="S188" s="21">
        <v>0</v>
      </c>
      <c r="T188" s="21">
        <v>0</v>
      </c>
      <c r="U188" s="21">
        <v>300000</v>
      </c>
    </row>
    <row r="189" spans="1:21" ht="21.95" customHeight="1">
      <c r="A189" s="19" t="s">
        <v>1695</v>
      </c>
      <c r="B189" s="24" t="s">
        <v>470</v>
      </c>
      <c r="C189" s="1">
        <f t="shared" si="57"/>
        <v>30144875</v>
      </c>
      <c r="D189" s="21">
        <f t="shared" si="56"/>
        <v>29944875</v>
      </c>
      <c r="E189" s="21">
        <f>12742.5*350</f>
        <v>4459875</v>
      </c>
      <c r="F189" s="21">
        <f>12742.5*800</f>
        <v>10194000</v>
      </c>
      <c r="G189" s="21">
        <f>12742.5*300</f>
        <v>3822750</v>
      </c>
      <c r="H189" s="21">
        <f>12742.5*500</f>
        <v>6371250</v>
      </c>
      <c r="I189" s="21">
        <f>12742.5*400</f>
        <v>5097000</v>
      </c>
      <c r="J189" s="21">
        <f>0*350</f>
        <v>0</v>
      </c>
      <c r="K189" s="40">
        <v>0</v>
      </c>
      <c r="L189" s="21">
        <v>0</v>
      </c>
      <c r="M189" s="21">
        <v>0</v>
      </c>
      <c r="N189" s="21">
        <v>0</v>
      </c>
      <c r="O189" s="21">
        <v>0</v>
      </c>
      <c r="P189" s="21">
        <v>0</v>
      </c>
      <c r="Q189" s="21">
        <v>0</v>
      </c>
      <c r="R189" s="21">
        <v>0</v>
      </c>
      <c r="S189" s="21">
        <v>0</v>
      </c>
      <c r="T189" s="21">
        <v>0</v>
      </c>
      <c r="U189" s="21">
        <v>200000</v>
      </c>
    </row>
    <row r="190" spans="1:21" ht="21.95" customHeight="1">
      <c r="A190" s="19" t="s">
        <v>1696</v>
      </c>
      <c r="B190" s="24" t="s">
        <v>420</v>
      </c>
      <c r="C190" s="1">
        <f t="shared" si="57"/>
        <v>886320</v>
      </c>
      <c r="D190" s="21">
        <f t="shared" si="56"/>
        <v>0</v>
      </c>
      <c r="E190" s="21">
        <v>0</v>
      </c>
      <c r="F190" s="21">
        <v>0</v>
      </c>
      <c r="G190" s="21">
        <v>0</v>
      </c>
      <c r="H190" s="21">
        <v>0</v>
      </c>
      <c r="I190" s="21">
        <v>0</v>
      </c>
      <c r="J190" s="21">
        <v>0</v>
      </c>
      <c r="K190" s="40">
        <v>0</v>
      </c>
      <c r="L190" s="21">
        <v>0</v>
      </c>
      <c r="M190" s="21">
        <v>0</v>
      </c>
      <c r="N190" s="21">
        <v>0</v>
      </c>
      <c r="O190" s="21">
        <v>238.6</v>
      </c>
      <c r="P190" s="21">
        <v>286320</v>
      </c>
      <c r="Q190" s="21">
        <v>0</v>
      </c>
      <c r="R190" s="21">
        <v>0</v>
      </c>
      <c r="S190" s="21">
        <v>0</v>
      </c>
      <c r="T190" s="21">
        <v>0</v>
      </c>
      <c r="U190" s="21">
        <v>600000</v>
      </c>
    </row>
    <row r="191" spans="1:21" ht="21.95" customHeight="1">
      <c r="A191" s="19" t="s">
        <v>1697</v>
      </c>
      <c r="B191" s="24" t="s">
        <v>459</v>
      </c>
      <c r="C191" s="1">
        <f t="shared" si="57"/>
        <v>2972060</v>
      </c>
      <c r="D191" s="21">
        <f t="shared" si="56"/>
        <v>2772060</v>
      </c>
      <c r="E191" s="21">
        <f>1179.6*350</f>
        <v>412859.99999999994</v>
      </c>
      <c r="F191" s="21">
        <f>1179.6*800</f>
        <v>943679.99999999988</v>
      </c>
      <c r="G191" s="21">
        <f>1179.6*300</f>
        <v>353880</v>
      </c>
      <c r="H191" s="21">
        <f>1179.6*500</f>
        <v>589800</v>
      </c>
      <c r="I191" s="21">
        <f>1179.6*400</f>
        <v>471839.99999999994</v>
      </c>
      <c r="J191" s="21">
        <f>0*350</f>
        <v>0</v>
      </c>
      <c r="K191" s="40">
        <v>0</v>
      </c>
      <c r="L191" s="21">
        <v>0</v>
      </c>
      <c r="M191" s="21">
        <v>0</v>
      </c>
      <c r="N191" s="21">
        <v>0</v>
      </c>
      <c r="O191" s="21">
        <v>0</v>
      </c>
      <c r="P191" s="21">
        <v>0</v>
      </c>
      <c r="Q191" s="21">
        <v>0</v>
      </c>
      <c r="R191" s="21">
        <v>0</v>
      </c>
      <c r="S191" s="21">
        <v>0</v>
      </c>
      <c r="T191" s="21">
        <v>0</v>
      </c>
      <c r="U191" s="21">
        <v>200000</v>
      </c>
    </row>
    <row r="192" spans="1:21" ht="21.95" customHeight="1">
      <c r="A192" s="19" t="s">
        <v>1698</v>
      </c>
      <c r="B192" s="24" t="s">
        <v>450</v>
      </c>
      <c r="C192" s="1">
        <f t="shared" si="57"/>
        <v>6336320</v>
      </c>
      <c r="D192" s="21">
        <f t="shared" si="56"/>
        <v>6136320</v>
      </c>
      <c r="E192" s="21">
        <f>2611.2*350</f>
        <v>913919.99999999988</v>
      </c>
      <c r="F192" s="21">
        <f>2611.2*800</f>
        <v>2088959.9999999998</v>
      </c>
      <c r="G192" s="21">
        <f>2611.2*300</f>
        <v>783360</v>
      </c>
      <c r="H192" s="21">
        <f>2611.2*500</f>
        <v>1305600</v>
      </c>
      <c r="I192" s="21">
        <f>2611.2*400</f>
        <v>1044479.9999999999</v>
      </c>
      <c r="J192" s="21">
        <f>0*350</f>
        <v>0</v>
      </c>
      <c r="K192" s="40">
        <v>0</v>
      </c>
      <c r="L192" s="21">
        <v>0</v>
      </c>
      <c r="M192" s="21">
        <v>0</v>
      </c>
      <c r="N192" s="21">
        <v>0</v>
      </c>
      <c r="O192" s="21">
        <v>0</v>
      </c>
      <c r="P192" s="21">
        <v>0</v>
      </c>
      <c r="Q192" s="21">
        <v>0</v>
      </c>
      <c r="R192" s="21">
        <v>0</v>
      </c>
      <c r="S192" s="21">
        <v>0</v>
      </c>
      <c r="T192" s="21">
        <v>0</v>
      </c>
      <c r="U192" s="21">
        <v>200000</v>
      </c>
    </row>
    <row r="193" spans="1:21" ht="21.95" customHeight="1">
      <c r="A193" s="19" t="s">
        <v>1699</v>
      </c>
      <c r="B193" s="24" t="s">
        <v>435</v>
      </c>
      <c r="C193" s="1">
        <f t="shared" si="57"/>
        <v>2549060</v>
      </c>
      <c r="D193" s="21">
        <f t="shared" si="56"/>
        <v>2349060</v>
      </c>
      <c r="E193" s="21">
        <f>999.6*350</f>
        <v>349860</v>
      </c>
      <c r="F193" s="21">
        <f>999.6*800</f>
        <v>799680</v>
      </c>
      <c r="G193" s="21">
        <f>999.6*300</f>
        <v>299880</v>
      </c>
      <c r="H193" s="21">
        <f>999.6*500</f>
        <v>499800</v>
      </c>
      <c r="I193" s="21">
        <f>999.6*400</f>
        <v>399840</v>
      </c>
      <c r="J193" s="21">
        <f>0*350</f>
        <v>0</v>
      </c>
      <c r="K193" s="40">
        <v>0</v>
      </c>
      <c r="L193" s="21">
        <v>0</v>
      </c>
      <c r="M193" s="21">
        <v>0</v>
      </c>
      <c r="N193" s="21">
        <v>0</v>
      </c>
      <c r="O193" s="21">
        <v>0</v>
      </c>
      <c r="P193" s="21">
        <v>0</v>
      </c>
      <c r="Q193" s="21">
        <v>0</v>
      </c>
      <c r="R193" s="21">
        <v>0</v>
      </c>
      <c r="S193" s="21">
        <v>0</v>
      </c>
      <c r="T193" s="21">
        <v>0</v>
      </c>
      <c r="U193" s="21">
        <v>200000</v>
      </c>
    </row>
    <row r="194" spans="1:21" ht="21.95" customHeight="1">
      <c r="A194" s="19" t="s">
        <v>1700</v>
      </c>
      <c r="B194" s="24" t="s">
        <v>451</v>
      </c>
      <c r="C194" s="1">
        <f t="shared" si="57"/>
        <v>6295430</v>
      </c>
      <c r="D194" s="21">
        <f t="shared" si="56"/>
        <v>6095430</v>
      </c>
      <c r="E194" s="21">
        <f>2593.8*350</f>
        <v>907830.00000000012</v>
      </c>
      <c r="F194" s="21">
        <f>2593.8*800</f>
        <v>2075040.0000000002</v>
      </c>
      <c r="G194" s="21">
        <f>2593.8*300</f>
        <v>778140</v>
      </c>
      <c r="H194" s="21">
        <f>2593.8*500</f>
        <v>1296900</v>
      </c>
      <c r="I194" s="21">
        <f>2593.8*400</f>
        <v>1037520.0000000001</v>
      </c>
      <c r="J194" s="21">
        <f>0*350</f>
        <v>0</v>
      </c>
      <c r="K194" s="40">
        <v>0</v>
      </c>
      <c r="L194" s="21">
        <v>0</v>
      </c>
      <c r="M194" s="21">
        <v>0</v>
      </c>
      <c r="N194" s="21">
        <v>0</v>
      </c>
      <c r="O194" s="21">
        <v>0</v>
      </c>
      <c r="P194" s="21">
        <v>0</v>
      </c>
      <c r="Q194" s="21">
        <v>0</v>
      </c>
      <c r="R194" s="21">
        <v>0</v>
      </c>
      <c r="S194" s="21">
        <v>0</v>
      </c>
      <c r="T194" s="21">
        <v>0</v>
      </c>
      <c r="U194" s="21">
        <v>200000</v>
      </c>
    </row>
    <row r="195" spans="1:21" ht="21.95" customHeight="1">
      <c r="A195" s="19" t="s">
        <v>1701</v>
      </c>
      <c r="B195" s="24" t="s">
        <v>458</v>
      </c>
      <c r="C195" s="1">
        <f t="shared" si="57"/>
        <v>2949970</v>
      </c>
      <c r="D195" s="21">
        <f t="shared" si="56"/>
        <v>2749970</v>
      </c>
      <c r="E195" s="21">
        <f>1170.2*350</f>
        <v>409570</v>
      </c>
      <c r="F195" s="21">
        <f>1170.2*800</f>
        <v>936160</v>
      </c>
      <c r="G195" s="21">
        <f>1170.2*300</f>
        <v>351060</v>
      </c>
      <c r="H195" s="21">
        <f>1170.2*500</f>
        <v>585100</v>
      </c>
      <c r="I195" s="21">
        <f>1170.2*400</f>
        <v>468080</v>
      </c>
      <c r="J195" s="21">
        <f>0*350</f>
        <v>0</v>
      </c>
      <c r="K195" s="40">
        <v>0</v>
      </c>
      <c r="L195" s="21">
        <v>0</v>
      </c>
      <c r="M195" s="21">
        <v>0</v>
      </c>
      <c r="N195" s="21">
        <v>0</v>
      </c>
      <c r="O195" s="21">
        <v>0</v>
      </c>
      <c r="P195" s="21">
        <v>0</v>
      </c>
      <c r="Q195" s="21">
        <v>0</v>
      </c>
      <c r="R195" s="21">
        <v>0</v>
      </c>
      <c r="S195" s="21">
        <v>0</v>
      </c>
      <c r="T195" s="21">
        <v>0</v>
      </c>
      <c r="U195" s="21">
        <v>200000</v>
      </c>
    </row>
    <row r="196" spans="1:21" ht="21.95" customHeight="1">
      <c r="A196" s="19" t="s">
        <v>1702</v>
      </c>
      <c r="B196" s="24" t="s">
        <v>431</v>
      </c>
      <c r="C196" s="1">
        <f t="shared" si="57"/>
        <v>1733909</v>
      </c>
      <c r="D196" s="21">
        <f t="shared" si="56"/>
        <v>1533909</v>
      </c>
      <c r="E196" s="21">
        <f>350*829.14</f>
        <v>290199</v>
      </c>
      <c r="F196" s="21">
        <f>800*829.14</f>
        <v>663312</v>
      </c>
      <c r="G196" s="21">
        <f>300*829.14</f>
        <v>248742</v>
      </c>
      <c r="H196" s="21">
        <f>500*0</f>
        <v>0</v>
      </c>
      <c r="I196" s="21">
        <f>400*829.14</f>
        <v>331656</v>
      </c>
      <c r="J196" s="21">
        <f>350*0</f>
        <v>0</v>
      </c>
      <c r="K196" s="40">
        <v>0</v>
      </c>
      <c r="L196" s="21">
        <v>0</v>
      </c>
      <c r="M196" s="21">
        <v>0</v>
      </c>
      <c r="N196" s="21">
        <v>0</v>
      </c>
      <c r="O196" s="21">
        <v>0</v>
      </c>
      <c r="P196" s="21">
        <v>0</v>
      </c>
      <c r="Q196" s="21">
        <v>0</v>
      </c>
      <c r="R196" s="21">
        <v>0</v>
      </c>
      <c r="S196" s="21">
        <v>0</v>
      </c>
      <c r="T196" s="21">
        <v>0</v>
      </c>
      <c r="U196" s="21">
        <v>200000</v>
      </c>
    </row>
    <row r="197" spans="1:21" ht="21.95" customHeight="1">
      <c r="A197" s="19" t="s">
        <v>1703</v>
      </c>
      <c r="B197" s="24" t="s">
        <v>387</v>
      </c>
      <c r="C197" s="1">
        <f t="shared" si="57"/>
        <v>1339200</v>
      </c>
      <c r="D197" s="21">
        <f t="shared" si="56"/>
        <v>0</v>
      </c>
      <c r="E197" s="21">
        <v>0</v>
      </c>
      <c r="F197" s="21">
        <v>0</v>
      </c>
      <c r="G197" s="21">
        <v>0</v>
      </c>
      <c r="H197" s="21">
        <v>0</v>
      </c>
      <c r="I197" s="21">
        <v>0</v>
      </c>
      <c r="J197" s="21">
        <v>0</v>
      </c>
      <c r="K197" s="40">
        <v>0</v>
      </c>
      <c r="L197" s="21">
        <v>0</v>
      </c>
      <c r="M197" s="21">
        <v>0</v>
      </c>
      <c r="N197" s="21">
        <v>0</v>
      </c>
      <c r="O197" s="21">
        <v>0</v>
      </c>
      <c r="P197" s="21">
        <v>0</v>
      </c>
      <c r="Q197" s="21">
        <v>0</v>
      </c>
      <c r="R197" s="21">
        <v>0</v>
      </c>
      <c r="S197" s="21">
        <v>739200</v>
      </c>
      <c r="T197" s="21">
        <v>0</v>
      </c>
      <c r="U197" s="21">
        <v>600000</v>
      </c>
    </row>
    <row r="198" spans="1:21" ht="21.95" customHeight="1">
      <c r="A198" s="19" t="s">
        <v>1704</v>
      </c>
      <c r="B198" s="24" t="s">
        <v>496</v>
      </c>
      <c r="C198" s="1">
        <f t="shared" si="57"/>
        <v>9156625.5</v>
      </c>
      <c r="D198" s="21">
        <f t="shared" si="56"/>
        <v>8956625.5</v>
      </c>
      <c r="E198" s="21">
        <f>350*3811.33</f>
        <v>1333965.5</v>
      </c>
      <c r="F198" s="21">
        <f>800*3811.33</f>
        <v>3049064</v>
      </c>
      <c r="G198" s="21">
        <f>300*3811.33</f>
        <v>1143399</v>
      </c>
      <c r="H198" s="21">
        <f>500*3811.33</f>
        <v>1905665</v>
      </c>
      <c r="I198" s="21">
        <f>400*3811.33</f>
        <v>1524532</v>
      </c>
      <c r="J198" s="21">
        <f>350*0</f>
        <v>0</v>
      </c>
      <c r="K198" s="40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0</v>
      </c>
      <c r="R198" s="21">
        <v>0</v>
      </c>
      <c r="S198" s="21">
        <v>0</v>
      </c>
      <c r="T198" s="21">
        <v>0</v>
      </c>
      <c r="U198" s="21">
        <v>200000</v>
      </c>
    </row>
    <row r="199" spans="1:21" ht="21.95" customHeight="1">
      <c r="A199" s="19" t="s">
        <v>901</v>
      </c>
      <c r="B199" s="24" t="s">
        <v>436</v>
      </c>
      <c r="C199" s="1">
        <f t="shared" si="57"/>
        <v>1269900</v>
      </c>
      <c r="D199" s="21">
        <f t="shared" si="56"/>
        <v>0</v>
      </c>
      <c r="E199" s="21">
        <v>0</v>
      </c>
      <c r="F199" s="21">
        <v>0</v>
      </c>
      <c r="G199" s="21">
        <v>0</v>
      </c>
      <c r="H199" s="21">
        <v>0</v>
      </c>
      <c r="I199" s="21">
        <v>0</v>
      </c>
      <c r="J199" s="21">
        <v>0</v>
      </c>
      <c r="K199" s="40">
        <v>0</v>
      </c>
      <c r="L199" s="21">
        <v>0</v>
      </c>
      <c r="M199" s="21">
        <v>0</v>
      </c>
      <c r="N199" s="21">
        <v>0</v>
      </c>
      <c r="O199" s="21">
        <v>0</v>
      </c>
      <c r="P199" s="21">
        <v>0</v>
      </c>
      <c r="Q199" s="21">
        <v>0</v>
      </c>
      <c r="R199" s="21">
        <v>0</v>
      </c>
      <c r="S199" s="21">
        <v>669900</v>
      </c>
      <c r="T199" s="21">
        <v>0</v>
      </c>
      <c r="U199" s="21">
        <v>600000</v>
      </c>
    </row>
    <row r="200" spans="1:21" ht="21.95" customHeight="1">
      <c r="A200" s="19" t="s">
        <v>902</v>
      </c>
      <c r="B200" s="24" t="s">
        <v>460</v>
      </c>
      <c r="C200" s="1">
        <f t="shared" si="57"/>
        <v>10277975</v>
      </c>
      <c r="D200" s="21">
        <f t="shared" si="56"/>
        <v>10077975</v>
      </c>
      <c r="E200" s="21">
        <f>350*4288.5</f>
        <v>1500975</v>
      </c>
      <c r="F200" s="21">
        <f>800*4288.5</f>
        <v>3430800</v>
      </c>
      <c r="G200" s="21">
        <f>300*4288.5</f>
        <v>1286550</v>
      </c>
      <c r="H200" s="21">
        <f>500*4288.5</f>
        <v>2144250</v>
      </c>
      <c r="I200" s="21">
        <f>400*4288.5</f>
        <v>1715400</v>
      </c>
      <c r="J200" s="21">
        <f>350*0</f>
        <v>0</v>
      </c>
      <c r="K200" s="40">
        <v>0</v>
      </c>
      <c r="L200" s="21">
        <v>0</v>
      </c>
      <c r="M200" s="21">
        <v>0</v>
      </c>
      <c r="N200" s="21">
        <v>0</v>
      </c>
      <c r="O200" s="21">
        <v>0</v>
      </c>
      <c r="P200" s="21">
        <v>0</v>
      </c>
      <c r="Q200" s="21">
        <v>0</v>
      </c>
      <c r="R200" s="21">
        <v>0</v>
      </c>
      <c r="S200" s="21">
        <v>0</v>
      </c>
      <c r="T200" s="21">
        <v>0</v>
      </c>
      <c r="U200" s="21">
        <v>200000</v>
      </c>
    </row>
    <row r="201" spans="1:21" ht="21.95" customHeight="1">
      <c r="A201" s="19" t="s">
        <v>1705</v>
      </c>
      <c r="B201" s="24" t="s">
        <v>414</v>
      </c>
      <c r="C201" s="1">
        <f t="shared" si="57"/>
        <v>5952800</v>
      </c>
      <c r="D201" s="21">
        <f t="shared" si="56"/>
        <v>5752800</v>
      </c>
      <c r="E201" s="21">
        <f>350*2448</f>
        <v>856800</v>
      </c>
      <c r="F201" s="21">
        <f>800*2448</f>
        <v>1958400</v>
      </c>
      <c r="G201" s="21">
        <f>300*2448</f>
        <v>734400</v>
      </c>
      <c r="H201" s="21">
        <f>500*2448</f>
        <v>1224000</v>
      </c>
      <c r="I201" s="21">
        <f>400*2448</f>
        <v>979200</v>
      </c>
      <c r="J201" s="21">
        <f>350*0</f>
        <v>0</v>
      </c>
      <c r="K201" s="40">
        <v>0</v>
      </c>
      <c r="L201" s="21">
        <v>0</v>
      </c>
      <c r="M201" s="21">
        <v>0</v>
      </c>
      <c r="N201" s="21">
        <v>0</v>
      </c>
      <c r="O201" s="21">
        <v>0</v>
      </c>
      <c r="P201" s="21">
        <v>0</v>
      </c>
      <c r="Q201" s="21">
        <v>0</v>
      </c>
      <c r="R201" s="21">
        <v>0</v>
      </c>
      <c r="S201" s="21">
        <v>0</v>
      </c>
      <c r="T201" s="21">
        <v>0</v>
      </c>
      <c r="U201" s="21">
        <v>200000</v>
      </c>
    </row>
    <row r="202" spans="1:21" ht="21.95" customHeight="1">
      <c r="A202" s="19" t="s">
        <v>1706</v>
      </c>
      <c r="B202" s="24" t="s">
        <v>415</v>
      </c>
      <c r="C202" s="1">
        <f t="shared" si="57"/>
        <v>5341565</v>
      </c>
      <c r="D202" s="21">
        <f t="shared" ref="D202:D264" si="58">SUM(E202:J202)</f>
        <v>5141565</v>
      </c>
      <c r="E202" s="21">
        <f>350*2187.9</f>
        <v>765765</v>
      </c>
      <c r="F202" s="21">
        <f>800*2187.9</f>
        <v>1750320</v>
      </c>
      <c r="G202" s="21">
        <f>300*2187.9</f>
        <v>656370</v>
      </c>
      <c r="H202" s="21">
        <f>500*2187.9</f>
        <v>1093950</v>
      </c>
      <c r="I202" s="21">
        <f>400*2187.9</f>
        <v>875160</v>
      </c>
      <c r="J202" s="21">
        <f t="shared" ref="J202:J209" si="59">350*0</f>
        <v>0</v>
      </c>
      <c r="K202" s="40">
        <v>0</v>
      </c>
      <c r="L202" s="21">
        <v>0</v>
      </c>
      <c r="M202" s="21">
        <v>0</v>
      </c>
      <c r="N202" s="21">
        <v>0</v>
      </c>
      <c r="O202" s="21">
        <v>0</v>
      </c>
      <c r="P202" s="21">
        <v>0</v>
      </c>
      <c r="Q202" s="21">
        <v>0</v>
      </c>
      <c r="R202" s="21">
        <v>0</v>
      </c>
      <c r="S202" s="21">
        <v>0</v>
      </c>
      <c r="T202" s="21">
        <v>0</v>
      </c>
      <c r="U202" s="21">
        <v>200000</v>
      </c>
    </row>
    <row r="203" spans="1:21" ht="21.95" customHeight="1">
      <c r="A203" s="19" t="s">
        <v>1707</v>
      </c>
      <c r="B203" s="24" t="s">
        <v>482</v>
      </c>
      <c r="C203" s="1">
        <f t="shared" ref="C203:C265" si="60">D203+L203+N203+P203+R203+S203+T203+U203</f>
        <v>1644310</v>
      </c>
      <c r="D203" s="21">
        <f t="shared" si="58"/>
        <v>1444310</v>
      </c>
      <c r="E203" s="21">
        <f>350*614.6</f>
        <v>215110</v>
      </c>
      <c r="F203" s="21">
        <f>800*614.6</f>
        <v>491680</v>
      </c>
      <c r="G203" s="21">
        <f>300*614.6</f>
        <v>184380</v>
      </c>
      <c r="H203" s="21">
        <f>500*614.6</f>
        <v>307300</v>
      </c>
      <c r="I203" s="21">
        <f>400*614.6</f>
        <v>245840</v>
      </c>
      <c r="J203" s="21">
        <f t="shared" si="59"/>
        <v>0</v>
      </c>
      <c r="K203" s="40">
        <v>0</v>
      </c>
      <c r="L203" s="21">
        <v>0</v>
      </c>
      <c r="M203" s="21">
        <v>0</v>
      </c>
      <c r="N203" s="21">
        <v>0</v>
      </c>
      <c r="O203" s="21">
        <v>0</v>
      </c>
      <c r="P203" s="21">
        <v>0</v>
      </c>
      <c r="Q203" s="21">
        <v>0</v>
      </c>
      <c r="R203" s="21">
        <v>0</v>
      </c>
      <c r="S203" s="21">
        <v>0</v>
      </c>
      <c r="T203" s="21">
        <v>0</v>
      </c>
      <c r="U203" s="21">
        <v>200000</v>
      </c>
    </row>
    <row r="204" spans="1:21" ht="21.95" customHeight="1">
      <c r="A204" s="19" t="s">
        <v>903</v>
      </c>
      <c r="B204" s="24" t="s">
        <v>392</v>
      </c>
      <c r="C204" s="1">
        <f t="shared" si="60"/>
        <v>1194560</v>
      </c>
      <c r="D204" s="21">
        <f t="shared" si="58"/>
        <v>994560</v>
      </c>
      <c r="E204" s="21">
        <f>350*537.6</f>
        <v>188160</v>
      </c>
      <c r="F204" s="21">
        <f>800*537.6</f>
        <v>430080</v>
      </c>
      <c r="G204" s="21">
        <f>300*537.6</f>
        <v>161280</v>
      </c>
      <c r="H204" s="21">
        <f>500*0</f>
        <v>0</v>
      </c>
      <c r="I204" s="21">
        <f>400*537.6</f>
        <v>215040</v>
      </c>
      <c r="J204" s="21">
        <f t="shared" si="59"/>
        <v>0</v>
      </c>
      <c r="K204" s="40">
        <v>0</v>
      </c>
      <c r="L204" s="21">
        <v>0</v>
      </c>
      <c r="M204" s="21">
        <v>0</v>
      </c>
      <c r="N204" s="21">
        <v>0</v>
      </c>
      <c r="O204" s="21">
        <v>0</v>
      </c>
      <c r="P204" s="21">
        <v>0</v>
      </c>
      <c r="Q204" s="21">
        <v>0</v>
      </c>
      <c r="R204" s="21">
        <v>0</v>
      </c>
      <c r="S204" s="21">
        <v>0</v>
      </c>
      <c r="T204" s="21">
        <v>0</v>
      </c>
      <c r="U204" s="21">
        <v>200000</v>
      </c>
    </row>
    <row r="205" spans="1:21" ht="21.95" customHeight="1">
      <c r="A205" s="19" t="s">
        <v>1708</v>
      </c>
      <c r="B205" s="24" t="s">
        <v>393</v>
      </c>
      <c r="C205" s="1">
        <f t="shared" si="60"/>
        <v>2013000</v>
      </c>
      <c r="D205" s="21">
        <f t="shared" si="58"/>
        <v>1813000</v>
      </c>
      <c r="E205" s="21">
        <f>350*980</f>
        <v>343000</v>
      </c>
      <c r="F205" s="21">
        <f>800*980</f>
        <v>784000</v>
      </c>
      <c r="G205" s="21">
        <f>300*980</f>
        <v>294000</v>
      </c>
      <c r="H205" s="21">
        <f>500*0</f>
        <v>0</v>
      </c>
      <c r="I205" s="21">
        <f>400*980</f>
        <v>392000</v>
      </c>
      <c r="J205" s="21">
        <f t="shared" si="59"/>
        <v>0</v>
      </c>
      <c r="K205" s="40">
        <v>0</v>
      </c>
      <c r="L205" s="21">
        <v>0</v>
      </c>
      <c r="M205" s="21">
        <v>0</v>
      </c>
      <c r="N205" s="21">
        <v>0</v>
      </c>
      <c r="O205" s="21">
        <v>0</v>
      </c>
      <c r="P205" s="21">
        <v>0</v>
      </c>
      <c r="Q205" s="21">
        <v>0</v>
      </c>
      <c r="R205" s="21">
        <v>0</v>
      </c>
      <c r="S205" s="21">
        <v>0</v>
      </c>
      <c r="T205" s="21">
        <v>0</v>
      </c>
      <c r="U205" s="21">
        <v>200000</v>
      </c>
    </row>
    <row r="206" spans="1:21" ht="21.95" customHeight="1">
      <c r="A206" s="19" t="s">
        <v>1709</v>
      </c>
      <c r="B206" s="24" t="s">
        <v>394</v>
      </c>
      <c r="C206" s="1">
        <f t="shared" si="60"/>
        <v>1996763</v>
      </c>
      <c r="D206" s="21">
        <f t="shared" si="58"/>
        <v>1796763</v>
      </c>
      <c r="E206" s="21">
        <f>350*764.58</f>
        <v>267603</v>
      </c>
      <c r="F206" s="21">
        <f>800*764.58</f>
        <v>611664</v>
      </c>
      <c r="G206" s="21">
        <f>300*764.58</f>
        <v>229374</v>
      </c>
      <c r="H206" s="21">
        <f>500*764.58</f>
        <v>382290</v>
      </c>
      <c r="I206" s="21">
        <f>400*764.58</f>
        <v>305832</v>
      </c>
      <c r="J206" s="21">
        <f t="shared" si="59"/>
        <v>0</v>
      </c>
      <c r="K206" s="40">
        <v>0</v>
      </c>
      <c r="L206" s="21">
        <v>0</v>
      </c>
      <c r="M206" s="21">
        <v>0</v>
      </c>
      <c r="N206" s="21">
        <v>0</v>
      </c>
      <c r="O206" s="21">
        <v>0</v>
      </c>
      <c r="P206" s="21">
        <v>0</v>
      </c>
      <c r="Q206" s="21">
        <v>0</v>
      </c>
      <c r="R206" s="21">
        <v>0</v>
      </c>
      <c r="S206" s="21">
        <v>0</v>
      </c>
      <c r="T206" s="21">
        <v>0</v>
      </c>
      <c r="U206" s="21">
        <v>200000</v>
      </c>
    </row>
    <row r="207" spans="1:21" ht="21.95" customHeight="1">
      <c r="A207" s="19" t="s">
        <v>1710</v>
      </c>
      <c r="B207" s="30" t="s">
        <v>461</v>
      </c>
      <c r="C207" s="1">
        <f t="shared" si="60"/>
        <v>17810900</v>
      </c>
      <c r="D207" s="21">
        <f t="shared" si="58"/>
        <v>17610900</v>
      </c>
      <c r="E207" s="21">
        <f>350*7494</f>
        <v>2622900</v>
      </c>
      <c r="F207" s="21">
        <f>800*7494</f>
        <v>5995200</v>
      </c>
      <c r="G207" s="21">
        <f>300*7494</f>
        <v>2248200</v>
      </c>
      <c r="H207" s="21">
        <f>500*7494</f>
        <v>3747000</v>
      </c>
      <c r="I207" s="21">
        <f>400*7494</f>
        <v>2997600</v>
      </c>
      <c r="J207" s="21">
        <f t="shared" si="59"/>
        <v>0</v>
      </c>
      <c r="K207" s="40">
        <v>0</v>
      </c>
      <c r="L207" s="21">
        <v>0</v>
      </c>
      <c r="M207" s="21">
        <v>0</v>
      </c>
      <c r="N207" s="21">
        <v>0</v>
      </c>
      <c r="O207" s="21">
        <v>0</v>
      </c>
      <c r="P207" s="21">
        <v>0</v>
      </c>
      <c r="Q207" s="21">
        <v>0</v>
      </c>
      <c r="R207" s="21">
        <v>0</v>
      </c>
      <c r="S207" s="21">
        <v>0</v>
      </c>
      <c r="T207" s="21">
        <v>0</v>
      </c>
      <c r="U207" s="21">
        <v>200000</v>
      </c>
    </row>
    <row r="208" spans="1:21" ht="21.95" customHeight="1">
      <c r="A208" s="19" t="s">
        <v>904</v>
      </c>
      <c r="B208" s="24" t="s">
        <v>430</v>
      </c>
      <c r="C208" s="1">
        <f t="shared" si="60"/>
        <v>7245065</v>
      </c>
      <c r="D208" s="21">
        <f t="shared" si="58"/>
        <v>7045065</v>
      </c>
      <c r="E208" s="21">
        <f>350*2997.9</f>
        <v>1049265</v>
      </c>
      <c r="F208" s="21">
        <f>800*2997.9</f>
        <v>2398320</v>
      </c>
      <c r="G208" s="21">
        <f>300*2997.9</f>
        <v>899370</v>
      </c>
      <c r="H208" s="21">
        <f>500*2997.9</f>
        <v>1498950</v>
      </c>
      <c r="I208" s="21">
        <f>400*2997.9</f>
        <v>1199160</v>
      </c>
      <c r="J208" s="21">
        <f t="shared" si="59"/>
        <v>0</v>
      </c>
      <c r="K208" s="40">
        <v>0</v>
      </c>
      <c r="L208" s="21">
        <v>0</v>
      </c>
      <c r="M208" s="21">
        <v>0</v>
      </c>
      <c r="N208" s="21">
        <v>0</v>
      </c>
      <c r="O208" s="21">
        <v>0</v>
      </c>
      <c r="P208" s="21">
        <v>0</v>
      </c>
      <c r="Q208" s="21">
        <v>0</v>
      </c>
      <c r="R208" s="21">
        <v>0</v>
      </c>
      <c r="S208" s="21">
        <v>0</v>
      </c>
      <c r="T208" s="21">
        <v>0</v>
      </c>
      <c r="U208" s="21">
        <v>200000</v>
      </c>
    </row>
    <row r="209" spans="1:21" ht="21.95" customHeight="1">
      <c r="A209" s="19" t="s">
        <v>905</v>
      </c>
      <c r="B209" s="30" t="s">
        <v>395</v>
      </c>
      <c r="C209" s="1">
        <f t="shared" si="60"/>
        <v>17810900</v>
      </c>
      <c r="D209" s="21">
        <f t="shared" si="58"/>
        <v>17610900</v>
      </c>
      <c r="E209" s="21">
        <f>350*7494</f>
        <v>2622900</v>
      </c>
      <c r="F209" s="21">
        <f>800*7494</f>
        <v>5995200</v>
      </c>
      <c r="G209" s="21">
        <f>300*7494</f>
        <v>2248200</v>
      </c>
      <c r="H209" s="21">
        <f>500*7494</f>
        <v>3747000</v>
      </c>
      <c r="I209" s="21">
        <f>400*7494</f>
        <v>2997600</v>
      </c>
      <c r="J209" s="21">
        <f t="shared" si="59"/>
        <v>0</v>
      </c>
      <c r="K209" s="40">
        <v>0</v>
      </c>
      <c r="L209" s="21">
        <v>0</v>
      </c>
      <c r="M209" s="21">
        <v>0</v>
      </c>
      <c r="N209" s="21">
        <v>0</v>
      </c>
      <c r="O209" s="21">
        <v>0</v>
      </c>
      <c r="P209" s="21">
        <v>0</v>
      </c>
      <c r="Q209" s="21">
        <v>0</v>
      </c>
      <c r="R209" s="21">
        <v>0</v>
      </c>
      <c r="S209" s="21">
        <v>0</v>
      </c>
      <c r="T209" s="21">
        <v>0</v>
      </c>
      <c r="U209" s="21">
        <v>200000</v>
      </c>
    </row>
    <row r="210" spans="1:21" ht="21.95" customHeight="1">
      <c r="A210" s="19" t="s">
        <v>1711</v>
      </c>
      <c r="B210" s="24" t="s">
        <v>1575</v>
      </c>
      <c r="C210" s="1">
        <f t="shared" si="60"/>
        <v>3469751.15</v>
      </c>
      <c r="D210" s="21">
        <f t="shared" si="58"/>
        <v>0</v>
      </c>
      <c r="E210" s="21">
        <v>0</v>
      </c>
      <c r="F210" s="21">
        <v>0</v>
      </c>
      <c r="G210" s="21">
        <v>0</v>
      </c>
      <c r="H210" s="21">
        <v>0</v>
      </c>
      <c r="I210" s="21">
        <v>0</v>
      </c>
      <c r="J210" s="21">
        <v>0</v>
      </c>
      <c r="K210" s="40">
        <v>0</v>
      </c>
      <c r="L210" s="21">
        <v>0</v>
      </c>
      <c r="M210" s="21">
        <v>634</v>
      </c>
      <c r="N210" s="21">
        <v>3360200</v>
      </c>
      <c r="O210" s="21">
        <v>0</v>
      </c>
      <c r="P210" s="21">
        <v>0</v>
      </c>
      <c r="Q210" s="21">
        <v>0</v>
      </c>
      <c r="R210" s="21">
        <v>0</v>
      </c>
      <c r="S210" s="21">
        <v>0</v>
      </c>
      <c r="T210" s="21">
        <v>0</v>
      </c>
      <c r="U210" s="21">
        <v>109551.15</v>
      </c>
    </row>
    <row r="211" spans="1:21" ht="21.95" customHeight="1">
      <c r="A211" s="19" t="s">
        <v>1712</v>
      </c>
      <c r="B211" s="24" t="s">
        <v>497</v>
      </c>
      <c r="C211" s="1">
        <f t="shared" si="60"/>
        <v>4026600</v>
      </c>
      <c r="D211" s="21">
        <f t="shared" si="58"/>
        <v>0</v>
      </c>
      <c r="E211" s="21">
        <v>0</v>
      </c>
      <c r="F211" s="21">
        <v>0</v>
      </c>
      <c r="G211" s="21">
        <v>0</v>
      </c>
      <c r="H211" s="21">
        <v>0</v>
      </c>
      <c r="I211" s="21">
        <v>0</v>
      </c>
      <c r="J211" s="21">
        <v>0</v>
      </c>
      <c r="K211" s="40">
        <v>0</v>
      </c>
      <c r="L211" s="21">
        <v>0</v>
      </c>
      <c r="M211" s="21">
        <v>722</v>
      </c>
      <c r="N211" s="21">
        <v>3826600</v>
      </c>
      <c r="O211" s="21">
        <v>0</v>
      </c>
      <c r="P211" s="21">
        <v>0</v>
      </c>
      <c r="Q211" s="21">
        <v>0</v>
      </c>
      <c r="R211" s="21">
        <v>0</v>
      </c>
      <c r="S211" s="21">
        <v>0</v>
      </c>
      <c r="T211" s="21">
        <v>0</v>
      </c>
      <c r="U211" s="21">
        <v>200000</v>
      </c>
    </row>
    <row r="212" spans="1:21" ht="21.95" customHeight="1">
      <c r="A212" s="19" t="s">
        <v>1713</v>
      </c>
      <c r="B212" s="24" t="s">
        <v>483</v>
      </c>
      <c r="C212" s="1">
        <f t="shared" si="60"/>
        <v>300000</v>
      </c>
      <c r="D212" s="21">
        <f t="shared" si="58"/>
        <v>0</v>
      </c>
      <c r="E212" s="21">
        <v>0</v>
      </c>
      <c r="F212" s="21">
        <v>0</v>
      </c>
      <c r="G212" s="21">
        <v>0</v>
      </c>
      <c r="H212" s="21">
        <v>0</v>
      </c>
      <c r="I212" s="21">
        <v>0</v>
      </c>
      <c r="J212" s="21">
        <v>0</v>
      </c>
      <c r="K212" s="40">
        <v>0</v>
      </c>
      <c r="L212" s="21">
        <v>0</v>
      </c>
      <c r="M212" s="21">
        <v>0</v>
      </c>
      <c r="N212" s="21">
        <v>0</v>
      </c>
      <c r="O212" s="21">
        <v>0</v>
      </c>
      <c r="P212" s="21">
        <v>0</v>
      </c>
      <c r="Q212" s="21">
        <v>0</v>
      </c>
      <c r="R212" s="21">
        <v>0</v>
      </c>
      <c r="S212" s="21">
        <v>0</v>
      </c>
      <c r="T212" s="21">
        <v>0</v>
      </c>
      <c r="U212" s="21">
        <v>300000</v>
      </c>
    </row>
    <row r="213" spans="1:21" ht="21.95" customHeight="1">
      <c r="A213" s="19" t="s">
        <v>1714</v>
      </c>
      <c r="B213" s="24" t="s">
        <v>484</v>
      </c>
      <c r="C213" s="1">
        <f t="shared" si="60"/>
        <v>300000</v>
      </c>
      <c r="D213" s="21">
        <f t="shared" si="58"/>
        <v>0</v>
      </c>
      <c r="E213" s="21">
        <v>0</v>
      </c>
      <c r="F213" s="21">
        <v>0</v>
      </c>
      <c r="G213" s="21">
        <v>0</v>
      </c>
      <c r="H213" s="21">
        <v>0</v>
      </c>
      <c r="I213" s="21">
        <v>0</v>
      </c>
      <c r="J213" s="21">
        <v>0</v>
      </c>
      <c r="K213" s="40">
        <v>0</v>
      </c>
      <c r="L213" s="21">
        <v>0</v>
      </c>
      <c r="M213" s="21">
        <v>0</v>
      </c>
      <c r="N213" s="21">
        <v>0</v>
      </c>
      <c r="O213" s="21">
        <v>0</v>
      </c>
      <c r="P213" s="21">
        <v>0</v>
      </c>
      <c r="Q213" s="21">
        <v>0</v>
      </c>
      <c r="R213" s="21">
        <v>0</v>
      </c>
      <c r="S213" s="21">
        <v>0</v>
      </c>
      <c r="T213" s="21">
        <v>0</v>
      </c>
      <c r="U213" s="21">
        <v>300000</v>
      </c>
    </row>
    <row r="214" spans="1:21" ht="21.95" customHeight="1">
      <c r="A214" s="19" t="s">
        <v>1715</v>
      </c>
      <c r="B214" s="30" t="s">
        <v>466</v>
      </c>
      <c r="C214" s="1">
        <f t="shared" si="60"/>
        <v>4650356.4000000004</v>
      </c>
      <c r="D214" s="21">
        <f t="shared" si="58"/>
        <v>0</v>
      </c>
      <c r="E214" s="21">
        <v>0</v>
      </c>
      <c r="F214" s="21">
        <v>0</v>
      </c>
      <c r="G214" s="21">
        <v>0</v>
      </c>
      <c r="H214" s="21">
        <v>0</v>
      </c>
      <c r="I214" s="21">
        <v>0</v>
      </c>
      <c r="J214" s="21">
        <v>0</v>
      </c>
      <c r="K214" s="40">
        <v>0</v>
      </c>
      <c r="L214" s="21">
        <v>0</v>
      </c>
      <c r="M214" s="21">
        <v>932.6</v>
      </c>
      <c r="N214" s="21">
        <v>3080390.4</v>
      </c>
      <c r="O214" s="21">
        <v>0</v>
      </c>
      <c r="P214" s="21">
        <v>0</v>
      </c>
      <c r="Q214" s="21">
        <v>603.1</v>
      </c>
      <c r="R214" s="21">
        <v>1569966</v>
      </c>
      <c r="S214" s="21">
        <v>0</v>
      </c>
      <c r="T214" s="21">
        <v>0</v>
      </c>
      <c r="U214" s="21">
        <v>0</v>
      </c>
    </row>
    <row r="215" spans="1:21" ht="21.95" customHeight="1">
      <c r="A215" s="19" t="s">
        <v>1716</v>
      </c>
      <c r="B215" s="24" t="s">
        <v>437</v>
      </c>
      <c r="C215" s="1">
        <f t="shared" si="60"/>
        <v>300000</v>
      </c>
      <c r="D215" s="21">
        <f t="shared" si="58"/>
        <v>0</v>
      </c>
      <c r="E215" s="21">
        <v>0</v>
      </c>
      <c r="F215" s="21">
        <v>0</v>
      </c>
      <c r="G215" s="21">
        <v>0</v>
      </c>
      <c r="H215" s="21">
        <v>0</v>
      </c>
      <c r="I215" s="21">
        <v>0</v>
      </c>
      <c r="J215" s="21">
        <v>0</v>
      </c>
      <c r="K215" s="40">
        <v>0</v>
      </c>
      <c r="L215" s="21">
        <v>0</v>
      </c>
      <c r="M215" s="21">
        <v>0</v>
      </c>
      <c r="N215" s="21">
        <v>0</v>
      </c>
      <c r="O215" s="21">
        <v>0</v>
      </c>
      <c r="P215" s="21">
        <v>0</v>
      </c>
      <c r="Q215" s="21">
        <v>0</v>
      </c>
      <c r="R215" s="21">
        <v>0</v>
      </c>
      <c r="S215" s="21">
        <v>0</v>
      </c>
      <c r="T215" s="21">
        <v>0</v>
      </c>
      <c r="U215" s="21">
        <v>300000</v>
      </c>
    </row>
    <row r="216" spans="1:21" ht="21.95" customHeight="1">
      <c r="A216" s="19" t="s">
        <v>1717</v>
      </c>
      <c r="B216" s="24" t="s">
        <v>498</v>
      </c>
      <c r="C216" s="1">
        <f t="shared" si="60"/>
        <v>6093095</v>
      </c>
      <c r="D216" s="21">
        <f t="shared" si="58"/>
        <v>5893095</v>
      </c>
      <c r="E216" s="21">
        <f>350*2507.7</f>
        <v>877694.99999999988</v>
      </c>
      <c r="F216" s="21">
        <f>800*2507.7</f>
        <v>2006159.9999999998</v>
      </c>
      <c r="G216" s="21">
        <f>300*2507.7</f>
        <v>752310</v>
      </c>
      <c r="H216" s="21">
        <f>500*2507.7</f>
        <v>1253850</v>
      </c>
      <c r="I216" s="21">
        <f>400*2507.7</f>
        <v>1003079.9999999999</v>
      </c>
      <c r="J216" s="21">
        <f>350*0</f>
        <v>0</v>
      </c>
      <c r="K216" s="40">
        <v>0</v>
      </c>
      <c r="L216" s="21">
        <v>0</v>
      </c>
      <c r="M216" s="21">
        <v>0</v>
      </c>
      <c r="N216" s="21">
        <v>0</v>
      </c>
      <c r="O216" s="21">
        <v>0</v>
      </c>
      <c r="P216" s="21">
        <v>0</v>
      </c>
      <c r="Q216" s="21">
        <v>0</v>
      </c>
      <c r="R216" s="21">
        <v>0</v>
      </c>
      <c r="S216" s="21">
        <v>0</v>
      </c>
      <c r="T216" s="21">
        <v>0</v>
      </c>
      <c r="U216" s="21">
        <v>200000</v>
      </c>
    </row>
    <row r="217" spans="1:21" ht="21.95" customHeight="1">
      <c r="A217" s="19" t="s">
        <v>906</v>
      </c>
      <c r="B217" s="24" t="s">
        <v>467</v>
      </c>
      <c r="C217" s="1">
        <f t="shared" si="60"/>
        <v>6570505</v>
      </c>
      <c r="D217" s="21">
        <f t="shared" si="58"/>
        <v>6251705</v>
      </c>
      <c r="E217" s="21">
        <f>350*2660.3</f>
        <v>931105.00000000012</v>
      </c>
      <c r="F217" s="21">
        <f>800*2660.3</f>
        <v>2128240</v>
      </c>
      <c r="G217" s="21">
        <f>300*2660.3</f>
        <v>798090</v>
      </c>
      <c r="H217" s="21">
        <f>500*2660.3</f>
        <v>1330150</v>
      </c>
      <c r="I217" s="21">
        <f>400*2660.3</f>
        <v>1064120</v>
      </c>
      <c r="J217" s="21">
        <f>350*0</f>
        <v>0</v>
      </c>
      <c r="K217" s="40">
        <v>0</v>
      </c>
      <c r="L217" s="21">
        <v>0</v>
      </c>
      <c r="M217" s="21">
        <v>0</v>
      </c>
      <c r="N217" s="21">
        <v>0</v>
      </c>
      <c r="O217" s="21">
        <v>99</v>
      </c>
      <c r="P217" s="21">
        <f>O217*1200</f>
        <v>118800</v>
      </c>
      <c r="Q217" s="21">
        <v>0</v>
      </c>
      <c r="R217" s="21">
        <v>0</v>
      </c>
      <c r="S217" s="21">
        <v>0</v>
      </c>
      <c r="T217" s="21">
        <v>0</v>
      </c>
      <c r="U217" s="21">
        <v>200000</v>
      </c>
    </row>
    <row r="218" spans="1:21" ht="21.95" customHeight="1">
      <c r="A218" s="19" t="s">
        <v>1718</v>
      </c>
      <c r="B218" s="30" t="s">
        <v>499</v>
      </c>
      <c r="C218" s="1">
        <f t="shared" si="60"/>
        <v>6597100</v>
      </c>
      <c r="D218" s="21">
        <f t="shared" si="58"/>
        <v>0</v>
      </c>
      <c r="E218" s="21">
        <v>0</v>
      </c>
      <c r="F218" s="21">
        <v>0</v>
      </c>
      <c r="G218" s="21">
        <v>0</v>
      </c>
      <c r="H218" s="21">
        <v>0</v>
      </c>
      <c r="I218" s="21">
        <v>0</v>
      </c>
      <c r="J218" s="21">
        <v>0</v>
      </c>
      <c r="K218" s="40">
        <v>0</v>
      </c>
      <c r="L218" s="21">
        <v>0</v>
      </c>
      <c r="M218" s="21">
        <v>1207</v>
      </c>
      <c r="N218" s="21">
        <v>6397100</v>
      </c>
      <c r="O218" s="21">
        <v>0</v>
      </c>
      <c r="P218" s="21">
        <v>0</v>
      </c>
      <c r="Q218" s="21">
        <v>0</v>
      </c>
      <c r="R218" s="21">
        <v>0</v>
      </c>
      <c r="S218" s="21">
        <v>0</v>
      </c>
      <c r="T218" s="21">
        <v>0</v>
      </c>
      <c r="U218" s="21">
        <v>200000</v>
      </c>
    </row>
    <row r="219" spans="1:21" ht="21.95" customHeight="1">
      <c r="A219" s="19" t="s">
        <v>1719</v>
      </c>
      <c r="B219" s="35" t="s">
        <v>1563</v>
      </c>
      <c r="C219" s="1">
        <f t="shared" si="60"/>
        <v>6865350</v>
      </c>
      <c r="D219" s="21">
        <f t="shared" si="58"/>
        <v>6865350</v>
      </c>
      <c r="E219" s="21">
        <f>350*3711</f>
        <v>1298850</v>
      </c>
      <c r="F219" s="21">
        <f>800*3711</f>
        <v>2968800</v>
      </c>
      <c r="G219" s="21">
        <f>300*3711</f>
        <v>1113300</v>
      </c>
      <c r="H219" s="21">
        <v>0</v>
      </c>
      <c r="I219" s="21">
        <f>400*3711</f>
        <v>1484400</v>
      </c>
      <c r="J219" s="21">
        <f>350*0</f>
        <v>0</v>
      </c>
      <c r="K219" s="40">
        <v>0</v>
      </c>
      <c r="L219" s="21">
        <v>0</v>
      </c>
      <c r="M219" s="21">
        <v>0</v>
      </c>
      <c r="N219" s="21">
        <v>0</v>
      </c>
      <c r="O219" s="21">
        <v>0</v>
      </c>
      <c r="P219" s="21">
        <v>0</v>
      </c>
      <c r="Q219" s="21">
        <v>0</v>
      </c>
      <c r="R219" s="3">
        <v>0</v>
      </c>
      <c r="S219" s="21">
        <v>0</v>
      </c>
      <c r="T219" s="21">
        <v>0</v>
      </c>
      <c r="U219" s="21">
        <v>0</v>
      </c>
    </row>
    <row r="220" spans="1:21" ht="21.95" customHeight="1">
      <c r="A220" s="19" t="s">
        <v>1720</v>
      </c>
      <c r="B220" s="35" t="s">
        <v>1544</v>
      </c>
      <c r="C220" s="1">
        <f t="shared" si="60"/>
        <v>7192881.2000000002</v>
      </c>
      <c r="D220" s="21">
        <f t="shared" si="58"/>
        <v>0</v>
      </c>
      <c r="E220" s="21">
        <v>0</v>
      </c>
      <c r="F220" s="21">
        <v>0</v>
      </c>
      <c r="G220" s="21">
        <v>0</v>
      </c>
      <c r="H220" s="21">
        <v>0</v>
      </c>
      <c r="I220" s="21">
        <v>0</v>
      </c>
      <c r="J220" s="21">
        <v>0</v>
      </c>
      <c r="K220" s="40">
        <v>0</v>
      </c>
      <c r="L220" s="21">
        <v>0</v>
      </c>
      <c r="M220" s="21">
        <v>553.39</v>
      </c>
      <c r="N220" s="21">
        <v>2932967</v>
      </c>
      <c r="O220" s="21">
        <v>0</v>
      </c>
      <c r="P220" s="21">
        <v>0</v>
      </c>
      <c r="Q220" s="21">
        <v>1400</v>
      </c>
      <c r="R220" s="3">
        <v>3647000</v>
      </c>
      <c r="S220" s="21">
        <v>0</v>
      </c>
      <c r="T220" s="21">
        <v>0</v>
      </c>
      <c r="U220" s="21">
        <v>612914.19999999995</v>
      </c>
    </row>
    <row r="221" spans="1:21" ht="21.95" customHeight="1">
      <c r="A221" s="19" t="s">
        <v>1721</v>
      </c>
      <c r="B221" s="30" t="s">
        <v>407</v>
      </c>
      <c r="C221" s="1">
        <f t="shared" si="60"/>
        <v>300000</v>
      </c>
      <c r="D221" s="21">
        <f t="shared" si="58"/>
        <v>0</v>
      </c>
      <c r="E221" s="21">
        <v>0</v>
      </c>
      <c r="F221" s="21">
        <v>0</v>
      </c>
      <c r="G221" s="21">
        <v>0</v>
      </c>
      <c r="H221" s="21">
        <v>0</v>
      </c>
      <c r="I221" s="21">
        <v>0</v>
      </c>
      <c r="J221" s="21">
        <v>0</v>
      </c>
      <c r="K221" s="40">
        <v>0</v>
      </c>
      <c r="L221" s="21">
        <v>0</v>
      </c>
      <c r="M221" s="21">
        <v>0</v>
      </c>
      <c r="N221" s="21">
        <v>0</v>
      </c>
      <c r="O221" s="21">
        <v>0</v>
      </c>
      <c r="P221" s="21">
        <v>0</v>
      </c>
      <c r="Q221" s="21">
        <v>0</v>
      </c>
      <c r="R221" s="21">
        <v>0</v>
      </c>
      <c r="S221" s="21">
        <v>0</v>
      </c>
      <c r="T221" s="21">
        <v>0</v>
      </c>
      <c r="U221" s="21">
        <v>300000</v>
      </c>
    </row>
    <row r="222" spans="1:21" ht="21.95" customHeight="1">
      <c r="A222" s="19" t="s">
        <v>1722</v>
      </c>
      <c r="B222" s="24" t="s">
        <v>401</v>
      </c>
      <c r="C222" s="1">
        <f t="shared" si="60"/>
        <v>300000</v>
      </c>
      <c r="D222" s="21">
        <f t="shared" si="58"/>
        <v>0</v>
      </c>
      <c r="E222" s="21">
        <v>0</v>
      </c>
      <c r="F222" s="21">
        <v>0</v>
      </c>
      <c r="G222" s="21">
        <v>0</v>
      </c>
      <c r="H222" s="21">
        <v>0</v>
      </c>
      <c r="I222" s="21">
        <v>0</v>
      </c>
      <c r="J222" s="21">
        <v>0</v>
      </c>
      <c r="K222" s="40">
        <v>0</v>
      </c>
      <c r="L222" s="21">
        <v>0</v>
      </c>
      <c r="M222" s="21">
        <v>0</v>
      </c>
      <c r="N222" s="21">
        <v>0</v>
      </c>
      <c r="O222" s="21">
        <v>0</v>
      </c>
      <c r="P222" s="21">
        <v>0</v>
      </c>
      <c r="Q222" s="21">
        <v>0</v>
      </c>
      <c r="R222" s="21">
        <v>0</v>
      </c>
      <c r="S222" s="21">
        <v>0</v>
      </c>
      <c r="T222" s="21">
        <v>0</v>
      </c>
      <c r="U222" s="21">
        <v>300000</v>
      </c>
    </row>
    <row r="223" spans="1:21" ht="21.95" customHeight="1">
      <c r="A223" s="19" t="s">
        <v>1723</v>
      </c>
      <c r="B223" s="35" t="s">
        <v>1551</v>
      </c>
      <c r="C223" s="1">
        <f t="shared" si="60"/>
        <v>3436200</v>
      </c>
      <c r="D223" s="21">
        <f t="shared" si="58"/>
        <v>0</v>
      </c>
      <c r="E223" s="21">
        <v>0</v>
      </c>
      <c r="F223" s="21">
        <v>0</v>
      </c>
      <c r="G223" s="21">
        <v>0</v>
      </c>
      <c r="H223" s="21">
        <v>0</v>
      </c>
      <c r="I223" s="21">
        <v>0</v>
      </c>
      <c r="J223" s="21">
        <v>0</v>
      </c>
      <c r="K223" s="40">
        <v>0</v>
      </c>
      <c r="L223" s="21">
        <v>0</v>
      </c>
      <c r="M223" s="21">
        <v>554</v>
      </c>
      <c r="N223" s="21">
        <v>2936200</v>
      </c>
      <c r="O223" s="21">
        <v>0</v>
      </c>
      <c r="P223" s="21">
        <v>0</v>
      </c>
      <c r="Q223" s="21">
        <v>0</v>
      </c>
      <c r="R223" s="21">
        <v>0</v>
      </c>
      <c r="S223" s="21">
        <v>0</v>
      </c>
      <c r="T223" s="21">
        <v>0</v>
      </c>
      <c r="U223" s="21">
        <v>500000</v>
      </c>
    </row>
    <row r="224" spans="1:21" ht="21.95" customHeight="1">
      <c r="A224" s="19" t="s">
        <v>1724</v>
      </c>
      <c r="B224" s="24" t="s">
        <v>416</v>
      </c>
      <c r="C224" s="1">
        <f t="shared" si="60"/>
        <v>1954040</v>
      </c>
      <c r="D224" s="21">
        <f t="shared" si="58"/>
        <v>1754040</v>
      </c>
      <c r="E224" s="21">
        <f>350*746.4</f>
        <v>261240</v>
      </c>
      <c r="F224" s="21">
        <f>800*746.4</f>
        <v>597120</v>
      </c>
      <c r="G224" s="21">
        <f>300*746.4</f>
        <v>223920</v>
      </c>
      <c r="H224" s="21">
        <f>500*746.4</f>
        <v>373200</v>
      </c>
      <c r="I224" s="21">
        <f>400*746.4</f>
        <v>298560</v>
      </c>
      <c r="J224" s="21">
        <f>350*0</f>
        <v>0</v>
      </c>
      <c r="K224" s="40">
        <v>0</v>
      </c>
      <c r="L224" s="21">
        <v>0</v>
      </c>
      <c r="M224" s="21">
        <v>0</v>
      </c>
      <c r="N224" s="21">
        <v>0</v>
      </c>
      <c r="O224" s="21">
        <v>0</v>
      </c>
      <c r="P224" s="21">
        <v>0</v>
      </c>
      <c r="Q224" s="21">
        <v>0</v>
      </c>
      <c r="R224" s="21">
        <v>0</v>
      </c>
      <c r="S224" s="21">
        <v>0</v>
      </c>
      <c r="T224" s="21">
        <v>0</v>
      </c>
      <c r="U224" s="21">
        <v>200000</v>
      </c>
    </row>
    <row r="225" spans="1:22" ht="21.95" customHeight="1">
      <c r="A225" s="19" t="s">
        <v>1725</v>
      </c>
      <c r="B225" s="24" t="s">
        <v>521</v>
      </c>
      <c r="C225" s="1">
        <f t="shared" si="60"/>
        <v>16732700</v>
      </c>
      <c r="D225" s="21">
        <f t="shared" si="58"/>
        <v>4980200</v>
      </c>
      <c r="E225" s="21">
        <f>350*2692</f>
        <v>942200</v>
      </c>
      <c r="F225" s="21">
        <f>800*2692</f>
        <v>2153600</v>
      </c>
      <c r="G225" s="21">
        <f>300*2692</f>
        <v>807600</v>
      </c>
      <c r="H225" s="21">
        <f>500*0</f>
        <v>0</v>
      </c>
      <c r="I225" s="21">
        <f>400*2692</f>
        <v>1076800</v>
      </c>
      <c r="J225" s="21">
        <f>350*0</f>
        <v>0</v>
      </c>
      <c r="K225" s="40">
        <v>0</v>
      </c>
      <c r="L225" s="21">
        <v>0</v>
      </c>
      <c r="M225" s="21">
        <v>1295</v>
      </c>
      <c r="N225" s="21">
        <v>6863500</v>
      </c>
      <c r="O225" s="21">
        <v>0</v>
      </c>
      <c r="P225" s="21">
        <v>0</v>
      </c>
      <c r="Q225" s="21">
        <v>1800</v>
      </c>
      <c r="R225" s="21">
        <f>Q225*2605</f>
        <v>4689000</v>
      </c>
      <c r="S225" s="21">
        <v>0</v>
      </c>
      <c r="T225" s="21">
        <v>0</v>
      </c>
      <c r="U225" s="21">
        <v>200000</v>
      </c>
    </row>
    <row r="226" spans="1:22" ht="21.95" customHeight="1">
      <c r="A226" s="19" t="s">
        <v>1726</v>
      </c>
      <c r="B226" s="35" t="s">
        <v>1582</v>
      </c>
      <c r="C226" s="1">
        <f t="shared" si="60"/>
        <v>3130492.46</v>
      </c>
      <c r="D226" s="21">
        <f t="shared" si="58"/>
        <v>0</v>
      </c>
      <c r="E226" s="21">
        <v>0</v>
      </c>
      <c r="F226" s="21">
        <v>0</v>
      </c>
      <c r="G226" s="21">
        <v>0</v>
      </c>
      <c r="H226" s="21">
        <v>0</v>
      </c>
      <c r="I226" s="21">
        <v>0</v>
      </c>
      <c r="J226" s="21">
        <v>0</v>
      </c>
      <c r="K226" s="40">
        <v>0</v>
      </c>
      <c r="L226" s="21">
        <v>0</v>
      </c>
      <c r="M226" s="21">
        <v>539</v>
      </c>
      <c r="N226" s="21">
        <v>2856700</v>
      </c>
      <c r="O226" s="21">
        <v>0</v>
      </c>
      <c r="P226" s="21">
        <v>0</v>
      </c>
      <c r="Q226" s="21">
        <v>0</v>
      </c>
      <c r="R226" s="21">
        <v>0</v>
      </c>
      <c r="S226" s="21">
        <v>0</v>
      </c>
      <c r="T226" s="21">
        <v>0</v>
      </c>
      <c r="U226" s="21">
        <v>273792.46000000002</v>
      </c>
    </row>
    <row r="227" spans="1:22" ht="21.95" customHeight="1">
      <c r="A227" s="19" t="s">
        <v>1727</v>
      </c>
      <c r="B227" s="24" t="s">
        <v>1561</v>
      </c>
      <c r="C227" s="1">
        <f t="shared" si="60"/>
        <v>9889895</v>
      </c>
      <c r="D227" s="21">
        <f t="shared" si="58"/>
        <v>9389895</v>
      </c>
      <c r="E227" s="21">
        <f>350*3995.7</f>
        <v>1398495</v>
      </c>
      <c r="F227" s="21">
        <f>800*3995.7</f>
        <v>3196560</v>
      </c>
      <c r="G227" s="21">
        <f>300*3995.7</f>
        <v>1198710</v>
      </c>
      <c r="H227" s="21">
        <f>500*3995.7</f>
        <v>1997850</v>
      </c>
      <c r="I227" s="21">
        <f>400*3995.7</f>
        <v>1598280</v>
      </c>
      <c r="J227" s="21">
        <f>350*0</f>
        <v>0</v>
      </c>
      <c r="K227" s="40">
        <v>0</v>
      </c>
      <c r="L227" s="21">
        <v>0</v>
      </c>
      <c r="M227" s="21">
        <v>0</v>
      </c>
      <c r="N227" s="21">
        <v>0</v>
      </c>
      <c r="O227" s="21">
        <v>0</v>
      </c>
      <c r="P227" s="21">
        <v>0</v>
      </c>
      <c r="Q227" s="21">
        <v>0</v>
      </c>
      <c r="R227" s="21">
        <v>0</v>
      </c>
      <c r="S227" s="21">
        <v>0</v>
      </c>
      <c r="T227" s="21">
        <v>0</v>
      </c>
      <c r="U227" s="21">
        <v>500000</v>
      </c>
    </row>
    <row r="228" spans="1:22" ht="21.95" customHeight="1">
      <c r="A228" s="19" t="s">
        <v>1728</v>
      </c>
      <c r="B228" s="24" t="s">
        <v>1590</v>
      </c>
      <c r="C228" s="1">
        <f t="shared" si="60"/>
        <v>14773255</v>
      </c>
      <c r="D228" s="21">
        <f t="shared" si="58"/>
        <v>13473255</v>
      </c>
      <c r="E228" s="21">
        <f>350*5733.3</f>
        <v>2006655</v>
      </c>
      <c r="F228" s="21">
        <f>800*5733.3</f>
        <v>4586640</v>
      </c>
      <c r="G228" s="21">
        <f>300*5733.3</f>
        <v>1719990</v>
      </c>
      <c r="H228" s="21">
        <f>500*5733.3</f>
        <v>2866650</v>
      </c>
      <c r="I228" s="21">
        <f>400*5733.3</f>
        <v>2293320</v>
      </c>
      <c r="J228" s="21">
        <f>350*0</f>
        <v>0</v>
      </c>
      <c r="K228" s="40">
        <v>0</v>
      </c>
      <c r="L228" s="21">
        <v>0</v>
      </c>
      <c r="M228" s="21">
        <v>0</v>
      </c>
      <c r="N228" s="21">
        <v>0</v>
      </c>
      <c r="O228" s="21">
        <v>0</v>
      </c>
      <c r="P228" s="21">
        <v>0</v>
      </c>
      <c r="Q228" s="21">
        <v>0</v>
      </c>
      <c r="R228" s="21">
        <v>0</v>
      </c>
      <c r="S228" s="21">
        <v>0</v>
      </c>
      <c r="T228" s="21">
        <v>680000</v>
      </c>
      <c r="U228" s="21">
        <v>620000</v>
      </c>
    </row>
    <row r="229" spans="1:22" ht="21.95" customHeight="1">
      <c r="A229" s="19" t="s">
        <v>1729</v>
      </c>
      <c r="B229" s="24" t="s">
        <v>410</v>
      </c>
      <c r="C229" s="1">
        <f t="shared" si="60"/>
        <v>3268225</v>
      </c>
      <c r="D229" s="21">
        <f t="shared" si="58"/>
        <v>3068225</v>
      </c>
      <c r="E229" s="21">
        <f>350*1658.5</f>
        <v>580475</v>
      </c>
      <c r="F229" s="21">
        <f>800*1658.5</f>
        <v>1326800</v>
      </c>
      <c r="G229" s="21">
        <f>300*1658.5</f>
        <v>497550</v>
      </c>
      <c r="H229" s="21">
        <v>0</v>
      </c>
      <c r="I229" s="21">
        <f>400*1658.5</f>
        <v>663400</v>
      </c>
      <c r="J229" s="21">
        <f>350*0</f>
        <v>0</v>
      </c>
      <c r="K229" s="40">
        <v>0</v>
      </c>
      <c r="L229" s="21">
        <v>0</v>
      </c>
      <c r="M229" s="21">
        <v>0</v>
      </c>
      <c r="N229" s="21">
        <v>0</v>
      </c>
      <c r="O229" s="21">
        <v>0</v>
      </c>
      <c r="P229" s="21">
        <v>0</v>
      </c>
      <c r="Q229" s="21">
        <v>0</v>
      </c>
      <c r="R229" s="21">
        <v>0</v>
      </c>
      <c r="S229" s="21">
        <v>0</v>
      </c>
      <c r="T229" s="21">
        <v>0</v>
      </c>
      <c r="U229" s="21">
        <v>200000</v>
      </c>
    </row>
    <row r="230" spans="1:22" ht="21.95" customHeight="1">
      <c r="A230" s="19" t="s">
        <v>1730</v>
      </c>
      <c r="B230" s="24" t="s">
        <v>411</v>
      </c>
      <c r="C230" s="1">
        <f t="shared" si="60"/>
        <v>5685620</v>
      </c>
      <c r="D230" s="21">
        <f t="shared" si="58"/>
        <v>5485620</v>
      </c>
      <c r="E230" s="21">
        <f>350*2965.2</f>
        <v>1037819.9999999999</v>
      </c>
      <c r="F230" s="21">
        <f>800*2965.2</f>
        <v>2372160</v>
      </c>
      <c r="G230" s="21">
        <f>300*2965.2</f>
        <v>889560</v>
      </c>
      <c r="H230" s="21">
        <f>500*0</f>
        <v>0</v>
      </c>
      <c r="I230" s="21">
        <f>400*2965.2</f>
        <v>1186080</v>
      </c>
      <c r="J230" s="21">
        <f>350*0</f>
        <v>0</v>
      </c>
      <c r="K230" s="40">
        <v>0</v>
      </c>
      <c r="L230" s="21">
        <v>0</v>
      </c>
      <c r="M230" s="21">
        <v>0</v>
      </c>
      <c r="N230" s="21">
        <v>0</v>
      </c>
      <c r="O230" s="21">
        <v>0</v>
      </c>
      <c r="P230" s="21">
        <v>0</v>
      </c>
      <c r="Q230" s="21">
        <v>0</v>
      </c>
      <c r="R230" s="21">
        <v>0</v>
      </c>
      <c r="S230" s="21">
        <v>0</v>
      </c>
      <c r="T230" s="21">
        <v>0</v>
      </c>
      <c r="U230" s="21">
        <v>200000</v>
      </c>
    </row>
    <row r="231" spans="1:22" ht="21.95" customHeight="1">
      <c r="A231" s="19" t="s">
        <v>1731</v>
      </c>
      <c r="B231" s="24" t="s">
        <v>404</v>
      </c>
      <c r="C231" s="1">
        <f t="shared" si="60"/>
        <v>3633350</v>
      </c>
      <c r="D231" s="21">
        <f t="shared" si="58"/>
        <v>3433350</v>
      </c>
      <c r="E231" s="21">
        <f>350*1461</f>
        <v>511350</v>
      </c>
      <c r="F231" s="21">
        <f>800*1461</f>
        <v>1168800</v>
      </c>
      <c r="G231" s="21">
        <f>300*1461</f>
        <v>438300</v>
      </c>
      <c r="H231" s="21">
        <f>500*1461</f>
        <v>730500</v>
      </c>
      <c r="I231" s="21">
        <f>400*1461</f>
        <v>584400</v>
      </c>
      <c r="J231" s="21">
        <f>350*0</f>
        <v>0</v>
      </c>
      <c r="K231" s="40">
        <v>0</v>
      </c>
      <c r="L231" s="21">
        <v>0</v>
      </c>
      <c r="M231" s="21">
        <v>0</v>
      </c>
      <c r="N231" s="21">
        <v>0</v>
      </c>
      <c r="O231" s="21">
        <v>0</v>
      </c>
      <c r="P231" s="21">
        <v>0</v>
      </c>
      <c r="Q231" s="21">
        <v>0</v>
      </c>
      <c r="R231" s="21">
        <v>0</v>
      </c>
      <c r="S231" s="21">
        <v>0</v>
      </c>
      <c r="T231" s="21">
        <v>0</v>
      </c>
      <c r="U231" s="21">
        <v>200000</v>
      </c>
    </row>
    <row r="232" spans="1:22" ht="21.95" customHeight="1">
      <c r="A232" s="19" t="s">
        <v>1732</v>
      </c>
      <c r="B232" s="35" t="s">
        <v>1557</v>
      </c>
      <c r="C232" s="1">
        <f t="shared" si="60"/>
        <v>8288852.0800000001</v>
      </c>
      <c r="D232" s="21">
        <f t="shared" si="58"/>
        <v>0</v>
      </c>
      <c r="E232" s="21">
        <v>0</v>
      </c>
      <c r="F232" s="21">
        <v>0</v>
      </c>
      <c r="G232" s="21">
        <v>0</v>
      </c>
      <c r="H232" s="21">
        <v>0</v>
      </c>
      <c r="I232" s="21">
        <v>0</v>
      </c>
      <c r="J232" s="21">
        <v>0</v>
      </c>
      <c r="K232" s="40">
        <v>0</v>
      </c>
      <c r="L232" s="21">
        <v>0</v>
      </c>
      <c r="M232" s="21">
        <v>752</v>
      </c>
      <c r="N232" s="21">
        <v>3985600</v>
      </c>
      <c r="O232" s="21">
        <v>0</v>
      </c>
      <c r="P232" s="21">
        <v>0</v>
      </c>
      <c r="Q232" s="21">
        <v>1468.47</v>
      </c>
      <c r="R232" s="3">
        <v>3825364.35</v>
      </c>
      <c r="S232" s="21">
        <v>0</v>
      </c>
      <c r="T232" s="21">
        <v>0</v>
      </c>
      <c r="U232" s="21">
        <v>477887.73</v>
      </c>
    </row>
    <row r="233" spans="1:22" ht="21.95" customHeight="1">
      <c r="A233" s="19" t="s">
        <v>1733</v>
      </c>
      <c r="B233" s="24" t="s">
        <v>500</v>
      </c>
      <c r="C233" s="1">
        <f t="shared" si="60"/>
        <v>7275500</v>
      </c>
      <c r="D233" s="21">
        <f t="shared" si="58"/>
        <v>0</v>
      </c>
      <c r="E233" s="21">
        <v>0</v>
      </c>
      <c r="F233" s="21">
        <v>0</v>
      </c>
      <c r="G233" s="21">
        <v>0</v>
      </c>
      <c r="H233" s="21">
        <v>0</v>
      </c>
      <c r="I233" s="21">
        <v>0</v>
      </c>
      <c r="J233" s="21">
        <v>0</v>
      </c>
      <c r="K233" s="40">
        <v>0</v>
      </c>
      <c r="L233" s="21">
        <v>0</v>
      </c>
      <c r="M233" s="21">
        <v>1335</v>
      </c>
      <c r="N233" s="21">
        <f>M233*5300</f>
        <v>7075500</v>
      </c>
      <c r="O233" s="21">
        <v>0</v>
      </c>
      <c r="P233" s="21">
        <v>0</v>
      </c>
      <c r="Q233" s="21">
        <v>0</v>
      </c>
      <c r="R233" s="21">
        <v>0</v>
      </c>
      <c r="S233" s="21">
        <v>0</v>
      </c>
      <c r="T233" s="21">
        <v>0</v>
      </c>
      <c r="U233" s="21">
        <v>200000</v>
      </c>
    </row>
    <row r="234" spans="1:22" ht="21.95" customHeight="1">
      <c r="A234" s="19" t="s">
        <v>907</v>
      </c>
      <c r="B234" s="24" t="s">
        <v>524</v>
      </c>
      <c r="C234" s="1">
        <f t="shared" si="60"/>
        <v>11446060</v>
      </c>
      <c r="D234" s="21">
        <f t="shared" si="58"/>
        <v>6442440</v>
      </c>
      <c r="E234" s="21">
        <f>350*3482.4</f>
        <v>1218840</v>
      </c>
      <c r="F234" s="21">
        <f>800*3482.4</f>
        <v>2785920</v>
      </c>
      <c r="G234" s="21">
        <f>300*3482.4</f>
        <v>1044720</v>
      </c>
      <c r="H234" s="21">
        <f>800*0</f>
        <v>0</v>
      </c>
      <c r="I234" s="21">
        <f>400*3482.4</f>
        <v>1392960</v>
      </c>
      <c r="J234" s="21">
        <f>800*0</f>
        <v>0</v>
      </c>
      <c r="K234" s="40">
        <v>0</v>
      </c>
      <c r="L234" s="21">
        <v>0</v>
      </c>
      <c r="M234" s="21">
        <v>0</v>
      </c>
      <c r="N234" s="21">
        <v>0</v>
      </c>
      <c r="O234" s="21">
        <v>0</v>
      </c>
      <c r="P234" s="21">
        <v>0</v>
      </c>
      <c r="Q234" s="21">
        <v>1844</v>
      </c>
      <c r="R234" s="21">
        <f>Q234*2605</f>
        <v>4803620</v>
      </c>
      <c r="S234" s="21">
        <v>0</v>
      </c>
      <c r="T234" s="21">
        <v>0</v>
      </c>
      <c r="U234" s="21">
        <v>200000</v>
      </c>
    </row>
    <row r="235" spans="1:22" ht="21.95" customHeight="1">
      <c r="A235" s="19" t="s">
        <v>1734</v>
      </c>
      <c r="B235" s="24" t="s">
        <v>485</v>
      </c>
      <c r="C235" s="1">
        <f t="shared" si="60"/>
        <v>300000</v>
      </c>
      <c r="D235" s="21">
        <f t="shared" si="58"/>
        <v>0</v>
      </c>
      <c r="E235" s="21">
        <v>0</v>
      </c>
      <c r="F235" s="21">
        <v>0</v>
      </c>
      <c r="G235" s="21">
        <v>0</v>
      </c>
      <c r="H235" s="21">
        <v>0</v>
      </c>
      <c r="I235" s="21">
        <v>0</v>
      </c>
      <c r="J235" s="21">
        <v>0</v>
      </c>
      <c r="K235" s="40">
        <v>0</v>
      </c>
      <c r="L235" s="21">
        <v>0</v>
      </c>
      <c r="M235" s="21">
        <v>0</v>
      </c>
      <c r="N235" s="21">
        <v>0</v>
      </c>
      <c r="O235" s="21">
        <v>0</v>
      </c>
      <c r="P235" s="21">
        <v>0</v>
      </c>
      <c r="Q235" s="21">
        <v>0</v>
      </c>
      <c r="R235" s="21">
        <v>0</v>
      </c>
      <c r="S235" s="21">
        <v>0</v>
      </c>
      <c r="T235" s="21">
        <v>0</v>
      </c>
      <c r="U235" s="21">
        <v>300000</v>
      </c>
    </row>
    <row r="236" spans="1:22" ht="21.95" customHeight="1">
      <c r="A236" s="19" t="s">
        <v>1735</v>
      </c>
      <c r="B236" s="24" t="s">
        <v>1591</v>
      </c>
      <c r="C236" s="1">
        <f t="shared" si="60"/>
        <v>13300000</v>
      </c>
      <c r="D236" s="21">
        <f t="shared" si="58"/>
        <v>0</v>
      </c>
      <c r="E236" s="21">
        <v>0</v>
      </c>
      <c r="F236" s="21">
        <v>0</v>
      </c>
      <c r="G236" s="21">
        <v>0</v>
      </c>
      <c r="H236" s="21">
        <v>0</v>
      </c>
      <c r="I236" s="21">
        <v>0</v>
      </c>
      <c r="J236" s="21">
        <v>0</v>
      </c>
      <c r="K236" s="5">
        <v>6</v>
      </c>
      <c r="L236" s="3">
        <f>K236*2150000</f>
        <v>12900000</v>
      </c>
      <c r="M236" s="3">
        <v>0</v>
      </c>
      <c r="N236" s="3">
        <v>0</v>
      </c>
      <c r="O236" s="3">
        <v>0</v>
      </c>
      <c r="P236" s="3">
        <v>0</v>
      </c>
      <c r="Q236" s="3">
        <v>0</v>
      </c>
      <c r="R236" s="3">
        <v>0</v>
      </c>
      <c r="S236" s="3">
        <v>0</v>
      </c>
      <c r="T236" s="3">
        <v>0</v>
      </c>
      <c r="U236" s="3">
        <v>400000</v>
      </c>
      <c r="V236" s="13"/>
    </row>
    <row r="237" spans="1:22" ht="21.95" customHeight="1">
      <c r="A237" s="19" t="s">
        <v>1736</v>
      </c>
      <c r="B237" s="24" t="s">
        <v>422</v>
      </c>
      <c r="C237" s="1">
        <f t="shared" si="60"/>
        <v>6910190</v>
      </c>
      <c r="D237" s="21">
        <f t="shared" si="58"/>
        <v>6710190</v>
      </c>
      <c r="E237" s="21">
        <f>350*2855.4</f>
        <v>999390</v>
      </c>
      <c r="F237" s="21">
        <f>800*2855.4</f>
        <v>2284320</v>
      </c>
      <c r="G237" s="21">
        <f>300*2855.4</f>
        <v>856620</v>
      </c>
      <c r="H237" s="21">
        <f>500*2855.4</f>
        <v>1427700</v>
      </c>
      <c r="I237" s="21">
        <f>400*2855.4</f>
        <v>1142160</v>
      </c>
      <c r="J237" s="21">
        <f>800*0</f>
        <v>0</v>
      </c>
      <c r="K237" s="40">
        <v>0</v>
      </c>
      <c r="L237" s="21">
        <v>0</v>
      </c>
      <c r="M237" s="21">
        <v>0</v>
      </c>
      <c r="N237" s="21">
        <v>0</v>
      </c>
      <c r="O237" s="21">
        <v>0</v>
      </c>
      <c r="P237" s="21">
        <v>0</v>
      </c>
      <c r="Q237" s="21">
        <v>0</v>
      </c>
      <c r="R237" s="21">
        <v>0</v>
      </c>
      <c r="S237" s="21">
        <v>0</v>
      </c>
      <c r="T237" s="21">
        <v>0</v>
      </c>
      <c r="U237" s="21">
        <v>200000</v>
      </c>
    </row>
    <row r="238" spans="1:22" ht="21.95" customHeight="1">
      <c r="A238" s="19" t="s">
        <v>1737</v>
      </c>
      <c r="B238" s="24" t="s">
        <v>423</v>
      </c>
      <c r="C238" s="1">
        <f t="shared" si="60"/>
        <v>5736905</v>
      </c>
      <c r="D238" s="21">
        <f t="shared" si="58"/>
        <v>5536905</v>
      </c>
      <c r="E238" s="21">
        <f>350*2125.1</f>
        <v>743785</v>
      </c>
      <c r="F238" s="21">
        <f>800*2125.1</f>
        <v>1700080</v>
      </c>
      <c r="G238" s="21">
        <f>300*2125.1</f>
        <v>637530</v>
      </c>
      <c r="H238" s="21">
        <f>500*2125.1</f>
        <v>1062550</v>
      </c>
      <c r="I238" s="21">
        <f>400*3482.4</f>
        <v>1392960</v>
      </c>
      <c r="J238" s="21">
        <f>800*0</f>
        <v>0</v>
      </c>
      <c r="K238" s="40">
        <v>0</v>
      </c>
      <c r="L238" s="21">
        <v>0</v>
      </c>
      <c r="M238" s="21">
        <v>0</v>
      </c>
      <c r="N238" s="21">
        <v>0</v>
      </c>
      <c r="O238" s="21">
        <v>0</v>
      </c>
      <c r="P238" s="21">
        <v>0</v>
      </c>
      <c r="Q238" s="21">
        <v>0</v>
      </c>
      <c r="R238" s="21">
        <v>0</v>
      </c>
      <c r="S238" s="21">
        <v>0</v>
      </c>
      <c r="T238" s="21">
        <v>0</v>
      </c>
      <c r="U238" s="21">
        <v>200000</v>
      </c>
    </row>
    <row r="239" spans="1:22" ht="21.95" customHeight="1">
      <c r="A239" s="19" t="s">
        <v>1738</v>
      </c>
      <c r="B239" s="24" t="s">
        <v>396</v>
      </c>
      <c r="C239" s="1">
        <f t="shared" si="60"/>
        <v>7704990</v>
      </c>
      <c r="D239" s="21">
        <f t="shared" si="58"/>
        <v>7504990</v>
      </c>
      <c r="E239" s="21">
        <f>350*3482.4</f>
        <v>1218840</v>
      </c>
      <c r="F239" s="21">
        <f>800*3482.4</f>
        <v>2785920</v>
      </c>
      <c r="G239" s="21">
        <f>300*3482.4</f>
        <v>1044720</v>
      </c>
      <c r="H239" s="21">
        <f>500*2125.1</f>
        <v>1062550</v>
      </c>
      <c r="I239" s="21">
        <f>400*3482.4</f>
        <v>1392960</v>
      </c>
      <c r="J239" s="21">
        <f>800*0</f>
        <v>0</v>
      </c>
      <c r="K239" s="40">
        <v>0</v>
      </c>
      <c r="L239" s="21">
        <v>0</v>
      </c>
      <c r="M239" s="21">
        <v>0</v>
      </c>
      <c r="N239" s="21">
        <v>0</v>
      </c>
      <c r="O239" s="21">
        <v>0</v>
      </c>
      <c r="P239" s="21">
        <v>0</v>
      </c>
      <c r="Q239" s="21">
        <v>0</v>
      </c>
      <c r="R239" s="21">
        <v>0</v>
      </c>
      <c r="S239" s="21">
        <v>0</v>
      </c>
      <c r="T239" s="21">
        <v>0</v>
      </c>
      <c r="U239" s="21">
        <v>200000</v>
      </c>
    </row>
    <row r="240" spans="1:22" ht="21.95" customHeight="1">
      <c r="A240" s="19" t="s">
        <v>1739</v>
      </c>
      <c r="B240" s="24" t="s">
        <v>445</v>
      </c>
      <c r="C240" s="1">
        <f t="shared" si="60"/>
        <v>2561000</v>
      </c>
      <c r="D240" s="21">
        <f t="shared" si="58"/>
        <v>0</v>
      </c>
      <c r="E240" s="21">
        <v>0</v>
      </c>
      <c r="F240" s="21">
        <v>0</v>
      </c>
      <c r="G240" s="21">
        <v>0</v>
      </c>
      <c r="H240" s="21">
        <v>0</v>
      </c>
      <c r="I240" s="21">
        <v>0</v>
      </c>
      <c r="J240" s="21">
        <v>0</v>
      </c>
      <c r="K240" s="40">
        <v>0</v>
      </c>
      <c r="L240" s="21">
        <v>0</v>
      </c>
      <c r="M240" s="21">
        <v>370</v>
      </c>
      <c r="N240" s="21">
        <v>1961000</v>
      </c>
      <c r="O240" s="21">
        <v>0</v>
      </c>
      <c r="P240" s="21">
        <v>0</v>
      </c>
      <c r="Q240" s="21">
        <v>0</v>
      </c>
      <c r="R240" s="21">
        <v>0</v>
      </c>
      <c r="S240" s="21">
        <v>0</v>
      </c>
      <c r="T240" s="21">
        <v>0</v>
      </c>
      <c r="U240" s="21">
        <v>600000</v>
      </c>
    </row>
    <row r="241" spans="1:21" ht="21.95" customHeight="1">
      <c r="A241" s="19" t="s">
        <v>908</v>
      </c>
      <c r="B241" s="24" t="s">
        <v>432</v>
      </c>
      <c r="C241" s="1">
        <f t="shared" si="60"/>
        <v>4398980</v>
      </c>
      <c r="D241" s="21">
        <f t="shared" si="58"/>
        <v>4198980</v>
      </c>
      <c r="E241" s="21">
        <f>350*1786.8</f>
        <v>625380</v>
      </c>
      <c r="F241" s="21">
        <f>800*1786.8</f>
        <v>1429440</v>
      </c>
      <c r="G241" s="21">
        <f>300*1786.8</f>
        <v>536040</v>
      </c>
      <c r="H241" s="21">
        <f>500*1786.8</f>
        <v>893400</v>
      </c>
      <c r="I241" s="21">
        <f>400*1786.8</f>
        <v>714720</v>
      </c>
      <c r="J241" s="21">
        <f>800*0</f>
        <v>0</v>
      </c>
      <c r="K241" s="40">
        <v>0</v>
      </c>
      <c r="L241" s="21">
        <v>0</v>
      </c>
      <c r="M241" s="21">
        <v>0</v>
      </c>
      <c r="N241" s="21">
        <v>0</v>
      </c>
      <c r="O241" s="21">
        <v>0</v>
      </c>
      <c r="P241" s="21">
        <v>0</v>
      </c>
      <c r="Q241" s="21">
        <v>0</v>
      </c>
      <c r="R241" s="21">
        <v>0</v>
      </c>
      <c r="S241" s="21">
        <v>0</v>
      </c>
      <c r="T241" s="21">
        <v>0</v>
      </c>
      <c r="U241" s="21">
        <v>200000</v>
      </c>
    </row>
    <row r="242" spans="1:21" ht="21.95" customHeight="1">
      <c r="A242" s="19" t="s">
        <v>1947</v>
      </c>
      <c r="B242" s="24" t="s">
        <v>421</v>
      </c>
      <c r="C242" s="1">
        <f t="shared" si="60"/>
        <v>4098000</v>
      </c>
      <c r="D242" s="21">
        <f t="shared" si="58"/>
        <v>0</v>
      </c>
      <c r="E242" s="21">
        <v>0</v>
      </c>
      <c r="F242" s="21">
        <v>0</v>
      </c>
      <c r="G242" s="21">
        <v>0</v>
      </c>
      <c r="H242" s="21">
        <v>0</v>
      </c>
      <c r="I242" s="21">
        <v>0</v>
      </c>
      <c r="J242" s="21">
        <v>0</v>
      </c>
      <c r="K242" s="40">
        <v>0</v>
      </c>
      <c r="L242" s="21">
        <v>0</v>
      </c>
      <c r="M242" s="21">
        <v>660</v>
      </c>
      <c r="N242" s="21">
        <v>3498000</v>
      </c>
      <c r="O242" s="21">
        <v>0</v>
      </c>
      <c r="P242" s="21">
        <v>0</v>
      </c>
      <c r="Q242" s="21">
        <v>0</v>
      </c>
      <c r="R242" s="21">
        <v>0</v>
      </c>
      <c r="S242" s="21">
        <v>0</v>
      </c>
      <c r="T242" s="21">
        <v>0</v>
      </c>
      <c r="U242" s="21">
        <v>600000</v>
      </c>
    </row>
    <row r="243" spans="1:21" ht="21.95" customHeight="1">
      <c r="A243" s="19" t="s">
        <v>1740</v>
      </c>
      <c r="B243" s="35" t="s">
        <v>1545</v>
      </c>
      <c r="C243" s="1">
        <f t="shared" si="60"/>
        <v>6407339.5800000001</v>
      </c>
      <c r="D243" s="21">
        <f t="shared" si="58"/>
        <v>0</v>
      </c>
      <c r="E243" s="21">
        <v>0</v>
      </c>
      <c r="F243" s="21">
        <v>0</v>
      </c>
      <c r="G243" s="21">
        <v>0</v>
      </c>
      <c r="H243" s="21">
        <v>0</v>
      </c>
      <c r="I243" s="21">
        <v>0</v>
      </c>
      <c r="J243" s="21">
        <v>0</v>
      </c>
      <c r="K243" s="40">
        <v>0</v>
      </c>
      <c r="L243" s="21">
        <v>0</v>
      </c>
      <c r="M243" s="21">
        <v>623.5</v>
      </c>
      <c r="N243" s="21">
        <v>3304550</v>
      </c>
      <c r="O243" s="21">
        <v>0</v>
      </c>
      <c r="P243" s="21">
        <v>0</v>
      </c>
      <c r="Q243" s="21">
        <v>980</v>
      </c>
      <c r="R243" s="3">
        <v>2552900</v>
      </c>
      <c r="S243" s="21">
        <v>0</v>
      </c>
      <c r="T243" s="21">
        <v>0</v>
      </c>
      <c r="U243" s="21">
        <v>549889.57999999996</v>
      </c>
    </row>
    <row r="244" spans="1:21" ht="21.95" customHeight="1">
      <c r="A244" s="19" t="s">
        <v>1741</v>
      </c>
      <c r="B244" s="30" t="s">
        <v>501</v>
      </c>
      <c r="C244" s="1">
        <f t="shared" si="60"/>
        <v>6204635</v>
      </c>
      <c r="D244" s="21">
        <f t="shared" si="58"/>
        <v>0</v>
      </c>
      <c r="E244" s="21">
        <v>0</v>
      </c>
      <c r="F244" s="21">
        <v>0</v>
      </c>
      <c r="G244" s="21">
        <v>0</v>
      </c>
      <c r="H244" s="21">
        <v>0</v>
      </c>
      <c r="I244" s="21">
        <v>0</v>
      </c>
      <c r="J244" s="21">
        <v>0</v>
      </c>
      <c r="K244" s="40">
        <v>0</v>
      </c>
      <c r="L244" s="21">
        <v>0</v>
      </c>
      <c r="M244" s="21">
        <v>1132.95</v>
      </c>
      <c r="N244" s="21">
        <f>M244*5300</f>
        <v>6004635</v>
      </c>
      <c r="O244" s="21">
        <v>0</v>
      </c>
      <c r="P244" s="21">
        <v>0</v>
      </c>
      <c r="Q244" s="21">
        <v>0</v>
      </c>
      <c r="R244" s="21">
        <v>0</v>
      </c>
      <c r="S244" s="21">
        <v>0</v>
      </c>
      <c r="T244" s="21">
        <v>0</v>
      </c>
      <c r="U244" s="21">
        <v>200000</v>
      </c>
    </row>
    <row r="245" spans="1:21" ht="21.95" customHeight="1">
      <c r="A245" s="19" t="s">
        <v>1742</v>
      </c>
      <c r="B245" s="24" t="s">
        <v>502</v>
      </c>
      <c r="C245" s="1">
        <f t="shared" si="60"/>
        <v>2455097</v>
      </c>
      <c r="D245" s="21">
        <f t="shared" si="58"/>
        <v>0</v>
      </c>
      <c r="E245" s="21">
        <v>0</v>
      </c>
      <c r="F245" s="21">
        <v>0</v>
      </c>
      <c r="G245" s="21">
        <v>0</v>
      </c>
      <c r="H245" s="21">
        <v>0</v>
      </c>
      <c r="I245" s="21">
        <v>0</v>
      </c>
      <c r="J245" s="21">
        <v>0</v>
      </c>
      <c r="K245" s="40">
        <v>0</v>
      </c>
      <c r="L245" s="21">
        <v>0</v>
      </c>
      <c r="M245" s="21">
        <v>425.49</v>
      </c>
      <c r="N245" s="21">
        <f>M245*5300</f>
        <v>2255097</v>
      </c>
      <c r="O245" s="21">
        <v>0</v>
      </c>
      <c r="P245" s="21">
        <v>0</v>
      </c>
      <c r="Q245" s="21">
        <v>0</v>
      </c>
      <c r="R245" s="21">
        <v>0</v>
      </c>
      <c r="S245" s="21">
        <v>0</v>
      </c>
      <c r="T245" s="21">
        <v>0</v>
      </c>
      <c r="U245" s="21">
        <v>200000</v>
      </c>
    </row>
    <row r="246" spans="1:21" ht="21.95" customHeight="1">
      <c r="A246" s="19" t="s">
        <v>1743</v>
      </c>
      <c r="B246" s="24" t="s">
        <v>397</v>
      </c>
      <c r="C246" s="1">
        <f t="shared" si="60"/>
        <v>15249300</v>
      </c>
      <c r="D246" s="21">
        <f t="shared" si="58"/>
        <v>4810000</v>
      </c>
      <c r="E246" s="21">
        <f>350*2600</f>
        <v>910000</v>
      </c>
      <c r="F246" s="21">
        <f>800*2600</f>
        <v>2080000</v>
      </c>
      <c r="G246" s="21">
        <f>300*2600</f>
        <v>780000</v>
      </c>
      <c r="H246" s="21">
        <f>500*0</f>
        <v>0</v>
      </c>
      <c r="I246" s="21">
        <f>400*2600</f>
        <v>1040000</v>
      </c>
      <c r="J246" s="21">
        <f>800*0</f>
        <v>0</v>
      </c>
      <c r="K246" s="40">
        <v>0</v>
      </c>
      <c r="L246" s="21">
        <v>0</v>
      </c>
      <c r="M246" s="21">
        <v>900.6</v>
      </c>
      <c r="N246" s="21">
        <v>4773180</v>
      </c>
      <c r="O246" s="21">
        <v>647.6</v>
      </c>
      <c r="P246" s="21">
        <v>777120</v>
      </c>
      <c r="Q246" s="21">
        <v>1800</v>
      </c>
      <c r="R246" s="21">
        <f>Q246*2605</f>
        <v>4689000</v>
      </c>
      <c r="S246" s="21">
        <v>0</v>
      </c>
      <c r="T246" s="21">
        <v>0</v>
      </c>
      <c r="U246" s="21">
        <v>200000</v>
      </c>
    </row>
    <row r="247" spans="1:21" ht="21.95" customHeight="1">
      <c r="A247" s="19" t="s">
        <v>909</v>
      </c>
      <c r="B247" s="24" t="s">
        <v>526</v>
      </c>
      <c r="C247" s="1">
        <f t="shared" si="60"/>
        <v>4381715</v>
      </c>
      <c r="D247" s="21">
        <f t="shared" si="58"/>
        <v>0</v>
      </c>
      <c r="E247" s="21">
        <v>0</v>
      </c>
      <c r="F247" s="21">
        <v>0</v>
      </c>
      <c r="G247" s="21">
        <v>0</v>
      </c>
      <c r="H247" s="21">
        <v>0</v>
      </c>
      <c r="I247" s="21">
        <v>0</v>
      </c>
      <c r="J247" s="21">
        <v>0</v>
      </c>
      <c r="K247" s="40">
        <v>0</v>
      </c>
      <c r="L247" s="21">
        <v>0</v>
      </c>
      <c r="M247" s="21">
        <v>472.2</v>
      </c>
      <c r="N247" s="21">
        <v>2502660</v>
      </c>
      <c r="O247" s="21">
        <v>0</v>
      </c>
      <c r="P247" s="21">
        <v>0</v>
      </c>
      <c r="Q247" s="21">
        <v>491</v>
      </c>
      <c r="R247" s="21">
        <v>1279055</v>
      </c>
      <c r="S247" s="21">
        <v>0</v>
      </c>
      <c r="T247" s="21">
        <v>0</v>
      </c>
      <c r="U247" s="21">
        <v>600000</v>
      </c>
    </row>
    <row r="248" spans="1:21" ht="21.95" customHeight="1">
      <c r="A248" s="19" t="s">
        <v>1744</v>
      </c>
      <c r="B248" s="24" t="s">
        <v>527</v>
      </c>
      <c r="C248" s="1">
        <f t="shared" si="60"/>
        <v>1834770</v>
      </c>
      <c r="D248" s="21">
        <f t="shared" si="58"/>
        <v>0</v>
      </c>
      <c r="E248" s="21">
        <v>0</v>
      </c>
      <c r="F248" s="21">
        <v>0</v>
      </c>
      <c r="G248" s="21">
        <v>0</v>
      </c>
      <c r="H248" s="21">
        <v>0</v>
      </c>
      <c r="I248" s="21">
        <v>0</v>
      </c>
      <c r="J248" s="21">
        <v>0</v>
      </c>
      <c r="K248" s="40">
        <v>0</v>
      </c>
      <c r="L248" s="21">
        <v>0</v>
      </c>
      <c r="M248" s="21">
        <v>0</v>
      </c>
      <c r="N248" s="21">
        <v>0</v>
      </c>
      <c r="O248" s="21">
        <v>0</v>
      </c>
      <c r="P248" s="21">
        <v>0</v>
      </c>
      <c r="Q248" s="21">
        <v>474</v>
      </c>
      <c r="R248" s="21">
        <v>1234770</v>
      </c>
      <c r="S248" s="21">
        <v>0</v>
      </c>
      <c r="T248" s="21">
        <v>0</v>
      </c>
      <c r="U248" s="21">
        <v>600000</v>
      </c>
    </row>
    <row r="249" spans="1:21" ht="21.95" customHeight="1">
      <c r="A249" s="19" t="s">
        <v>1745</v>
      </c>
      <c r="B249" s="24" t="s">
        <v>503</v>
      </c>
      <c r="C249" s="1">
        <f t="shared" si="60"/>
        <v>6729600</v>
      </c>
      <c r="D249" s="21">
        <f t="shared" si="58"/>
        <v>0</v>
      </c>
      <c r="E249" s="21">
        <v>0</v>
      </c>
      <c r="F249" s="21">
        <v>0</v>
      </c>
      <c r="G249" s="21">
        <v>0</v>
      </c>
      <c r="H249" s="21">
        <v>0</v>
      </c>
      <c r="I249" s="21">
        <v>0</v>
      </c>
      <c r="J249" s="21">
        <v>0</v>
      </c>
      <c r="K249" s="40">
        <v>0</v>
      </c>
      <c r="L249" s="21">
        <v>0</v>
      </c>
      <c r="M249" s="21">
        <v>1232</v>
      </c>
      <c r="N249" s="21">
        <v>6529600</v>
      </c>
      <c r="O249" s="21">
        <v>0</v>
      </c>
      <c r="P249" s="21">
        <v>0</v>
      </c>
      <c r="Q249" s="21">
        <v>0</v>
      </c>
      <c r="R249" s="21">
        <v>0</v>
      </c>
      <c r="S249" s="21">
        <v>0</v>
      </c>
      <c r="T249" s="21">
        <v>0</v>
      </c>
      <c r="U249" s="21">
        <v>200000</v>
      </c>
    </row>
    <row r="250" spans="1:21" ht="21.95" customHeight="1">
      <c r="A250" s="19" t="s">
        <v>1746</v>
      </c>
      <c r="B250" s="35" t="s">
        <v>1549</v>
      </c>
      <c r="C250" s="1">
        <f t="shared" si="60"/>
        <v>731420</v>
      </c>
      <c r="D250" s="21">
        <f t="shared" si="58"/>
        <v>0</v>
      </c>
      <c r="E250" s="21">
        <v>0</v>
      </c>
      <c r="F250" s="21">
        <v>0</v>
      </c>
      <c r="G250" s="21">
        <v>0</v>
      </c>
      <c r="H250" s="21">
        <v>0</v>
      </c>
      <c r="I250" s="21">
        <v>0</v>
      </c>
      <c r="J250" s="21">
        <v>0</v>
      </c>
      <c r="K250" s="40">
        <v>0</v>
      </c>
      <c r="L250" s="21">
        <v>0</v>
      </c>
      <c r="M250" s="21">
        <v>0</v>
      </c>
      <c r="N250" s="21">
        <v>0</v>
      </c>
      <c r="O250" s="21">
        <v>110.2</v>
      </c>
      <c r="P250" s="21">
        <v>231420</v>
      </c>
      <c r="Q250" s="21">
        <v>0</v>
      </c>
      <c r="R250" s="21">
        <v>0</v>
      </c>
      <c r="S250" s="21">
        <v>0</v>
      </c>
      <c r="T250" s="21">
        <v>0</v>
      </c>
      <c r="U250" s="21">
        <v>500000</v>
      </c>
    </row>
    <row r="251" spans="1:21" ht="21.95" customHeight="1">
      <c r="A251" s="19" t="s">
        <v>1747</v>
      </c>
      <c r="B251" s="24" t="s">
        <v>412</v>
      </c>
      <c r="C251" s="1">
        <f t="shared" si="60"/>
        <v>3567080</v>
      </c>
      <c r="D251" s="21">
        <f t="shared" si="58"/>
        <v>3367080</v>
      </c>
      <c r="E251" s="21">
        <f>350*1432.8</f>
        <v>501480</v>
      </c>
      <c r="F251" s="21">
        <f>800*1432.8</f>
        <v>1146240</v>
      </c>
      <c r="G251" s="21">
        <f>300*1432.8</f>
        <v>429840</v>
      </c>
      <c r="H251" s="21">
        <f>500*1432.8</f>
        <v>716400</v>
      </c>
      <c r="I251" s="21">
        <f>400*1432.8</f>
        <v>573120</v>
      </c>
      <c r="J251" s="21">
        <f>800*0</f>
        <v>0</v>
      </c>
      <c r="K251" s="40">
        <v>0</v>
      </c>
      <c r="L251" s="21">
        <v>0</v>
      </c>
      <c r="M251" s="21">
        <v>0</v>
      </c>
      <c r="N251" s="21">
        <v>0</v>
      </c>
      <c r="O251" s="21">
        <v>0</v>
      </c>
      <c r="P251" s="21">
        <v>0</v>
      </c>
      <c r="Q251" s="21">
        <v>0</v>
      </c>
      <c r="R251" s="21">
        <v>0</v>
      </c>
      <c r="S251" s="21">
        <v>0</v>
      </c>
      <c r="T251" s="21">
        <v>0</v>
      </c>
      <c r="U251" s="21">
        <v>200000</v>
      </c>
    </row>
    <row r="252" spans="1:21" ht="21.95" customHeight="1">
      <c r="A252" s="19" t="s">
        <v>1748</v>
      </c>
      <c r="B252" s="24" t="s">
        <v>519</v>
      </c>
      <c r="C252" s="1">
        <f t="shared" si="60"/>
        <v>3867600</v>
      </c>
      <c r="D252" s="21">
        <f t="shared" si="58"/>
        <v>0</v>
      </c>
      <c r="E252" s="21">
        <v>0</v>
      </c>
      <c r="F252" s="21">
        <v>0</v>
      </c>
      <c r="G252" s="21">
        <v>0</v>
      </c>
      <c r="H252" s="21">
        <v>0</v>
      </c>
      <c r="I252" s="21">
        <v>0</v>
      </c>
      <c r="J252" s="21">
        <v>0</v>
      </c>
      <c r="K252" s="40">
        <v>0</v>
      </c>
      <c r="L252" s="21">
        <v>0</v>
      </c>
      <c r="M252" s="21">
        <v>692</v>
      </c>
      <c r="N252" s="21">
        <v>3667600</v>
      </c>
      <c r="O252" s="21">
        <v>0</v>
      </c>
      <c r="P252" s="21">
        <v>0</v>
      </c>
      <c r="Q252" s="21">
        <v>0</v>
      </c>
      <c r="R252" s="21">
        <v>0</v>
      </c>
      <c r="S252" s="21">
        <v>0</v>
      </c>
      <c r="T252" s="21">
        <v>0</v>
      </c>
      <c r="U252" s="21">
        <v>200000</v>
      </c>
    </row>
    <row r="253" spans="1:21" ht="21.95" customHeight="1">
      <c r="A253" s="19" t="s">
        <v>1749</v>
      </c>
      <c r="B253" s="24" t="s">
        <v>446</v>
      </c>
      <c r="C253" s="1">
        <f t="shared" si="60"/>
        <v>2846680</v>
      </c>
      <c r="D253" s="21">
        <f t="shared" si="58"/>
        <v>0</v>
      </c>
      <c r="E253" s="21">
        <v>0</v>
      </c>
      <c r="F253" s="21">
        <v>0</v>
      </c>
      <c r="G253" s="21">
        <v>0</v>
      </c>
      <c r="H253" s="21">
        <v>0</v>
      </c>
      <c r="I253" s="21">
        <v>0</v>
      </c>
      <c r="J253" s="21">
        <v>0</v>
      </c>
      <c r="K253" s="40">
        <v>0</v>
      </c>
      <c r="L253" s="21">
        <v>0</v>
      </c>
      <c r="M253" s="21">
        <v>0</v>
      </c>
      <c r="N253" s="21">
        <v>0</v>
      </c>
      <c r="O253" s="21">
        <v>0</v>
      </c>
      <c r="P253" s="21">
        <v>0</v>
      </c>
      <c r="Q253" s="21">
        <v>1016</v>
      </c>
      <c r="R253" s="21">
        <v>2646680</v>
      </c>
      <c r="S253" s="21">
        <v>0</v>
      </c>
      <c r="T253" s="21">
        <v>0</v>
      </c>
      <c r="U253" s="21">
        <v>200000</v>
      </c>
    </row>
    <row r="254" spans="1:21" ht="21.95" customHeight="1">
      <c r="A254" s="19" t="s">
        <v>1750</v>
      </c>
      <c r="B254" s="35" t="s">
        <v>1592</v>
      </c>
      <c r="C254" s="1">
        <f t="shared" si="60"/>
        <v>4700000</v>
      </c>
      <c r="D254" s="21">
        <f t="shared" si="58"/>
        <v>0</v>
      </c>
      <c r="E254" s="21">
        <v>0</v>
      </c>
      <c r="F254" s="21">
        <v>0</v>
      </c>
      <c r="G254" s="21">
        <v>0</v>
      </c>
      <c r="H254" s="21">
        <v>0</v>
      </c>
      <c r="I254" s="21">
        <v>0</v>
      </c>
      <c r="J254" s="21">
        <v>0</v>
      </c>
      <c r="K254" s="40">
        <v>2</v>
      </c>
      <c r="L254" s="21">
        <f>K254*2150000</f>
        <v>4300000</v>
      </c>
      <c r="M254" s="21">
        <v>0</v>
      </c>
      <c r="N254" s="21">
        <v>0</v>
      </c>
      <c r="O254" s="21">
        <v>0</v>
      </c>
      <c r="P254" s="21">
        <v>0</v>
      </c>
      <c r="Q254" s="21">
        <v>0</v>
      </c>
      <c r="R254" s="21">
        <v>0</v>
      </c>
      <c r="S254" s="21">
        <v>0</v>
      </c>
      <c r="T254" s="21">
        <v>0</v>
      </c>
      <c r="U254" s="21">
        <v>400000</v>
      </c>
    </row>
    <row r="255" spans="1:21" ht="21.95" customHeight="1">
      <c r="A255" s="19" t="s">
        <v>1751</v>
      </c>
      <c r="B255" s="35" t="s">
        <v>1559</v>
      </c>
      <c r="C255" s="1">
        <f t="shared" si="60"/>
        <v>6843397.9299999997</v>
      </c>
      <c r="D255" s="21">
        <f t="shared" si="58"/>
        <v>0</v>
      </c>
      <c r="E255" s="21">
        <v>0</v>
      </c>
      <c r="F255" s="21">
        <v>0</v>
      </c>
      <c r="G255" s="21">
        <v>0</v>
      </c>
      <c r="H255" s="21">
        <v>0</v>
      </c>
      <c r="I255" s="21">
        <v>0</v>
      </c>
      <c r="J255" s="21">
        <v>0</v>
      </c>
      <c r="K255" s="40">
        <v>0</v>
      </c>
      <c r="L255" s="21">
        <v>0</v>
      </c>
      <c r="M255" s="21">
        <v>456.13</v>
      </c>
      <c r="N255" s="21">
        <v>2417489</v>
      </c>
      <c r="O255" s="21">
        <v>0</v>
      </c>
      <c r="P255" s="21">
        <v>0</v>
      </c>
      <c r="Q255" s="21">
        <v>1359</v>
      </c>
      <c r="R255" s="21">
        <v>3540195</v>
      </c>
      <c r="S255" s="21">
        <v>237930</v>
      </c>
      <c r="T255" s="21">
        <v>0</v>
      </c>
      <c r="U255" s="21">
        <v>647783.93000000005</v>
      </c>
    </row>
    <row r="256" spans="1:21" ht="21.95" customHeight="1">
      <c r="A256" s="19" t="s">
        <v>1752</v>
      </c>
      <c r="B256" s="35" t="s">
        <v>1579</v>
      </c>
      <c r="C256" s="1">
        <f t="shared" si="60"/>
        <v>7642516</v>
      </c>
      <c r="D256" s="21">
        <f t="shared" si="58"/>
        <v>0</v>
      </c>
      <c r="E256" s="21">
        <v>0</v>
      </c>
      <c r="F256" s="21">
        <v>0</v>
      </c>
      <c r="G256" s="21">
        <v>0</v>
      </c>
      <c r="H256" s="21">
        <v>0</v>
      </c>
      <c r="I256" s="21">
        <v>0</v>
      </c>
      <c r="J256" s="21">
        <v>0</v>
      </c>
      <c r="K256" s="40">
        <v>0</v>
      </c>
      <c r="L256" s="21">
        <v>0</v>
      </c>
      <c r="M256" s="21">
        <v>1188.8</v>
      </c>
      <c r="N256" s="21">
        <v>2628076</v>
      </c>
      <c r="O256" s="21">
        <v>0</v>
      </c>
      <c r="P256" s="21">
        <v>0</v>
      </c>
      <c r="Q256" s="21">
        <v>1744</v>
      </c>
      <c r="R256" s="21">
        <v>4543120</v>
      </c>
      <c r="S256" s="21">
        <v>271320</v>
      </c>
      <c r="T256" s="21">
        <v>0</v>
      </c>
      <c r="U256" s="21">
        <v>200000</v>
      </c>
    </row>
    <row r="257" spans="1:21" ht="21.95" customHeight="1">
      <c r="A257" s="19" t="s">
        <v>1753</v>
      </c>
      <c r="B257" s="35" t="s">
        <v>1543</v>
      </c>
      <c r="C257" s="1">
        <f t="shared" si="60"/>
        <v>4427300</v>
      </c>
      <c r="D257" s="21">
        <f t="shared" si="58"/>
        <v>0</v>
      </c>
      <c r="E257" s="21">
        <v>0</v>
      </c>
      <c r="F257" s="21">
        <v>0</v>
      </c>
      <c r="G257" s="21">
        <v>0</v>
      </c>
      <c r="H257" s="21">
        <v>0</v>
      </c>
      <c r="I257" s="21">
        <v>0</v>
      </c>
      <c r="J257" s="21">
        <v>0</v>
      </c>
      <c r="K257" s="40">
        <v>0</v>
      </c>
      <c r="L257" s="21">
        <v>0</v>
      </c>
      <c r="M257" s="21">
        <v>741</v>
      </c>
      <c r="N257" s="21">
        <v>3927300</v>
      </c>
      <c r="O257" s="21">
        <v>0</v>
      </c>
      <c r="P257" s="21">
        <v>0</v>
      </c>
      <c r="Q257" s="21">
        <v>0</v>
      </c>
      <c r="R257" s="21">
        <v>0</v>
      </c>
      <c r="S257" s="21">
        <v>0</v>
      </c>
      <c r="T257" s="21">
        <v>0</v>
      </c>
      <c r="U257" s="21">
        <v>500000</v>
      </c>
    </row>
    <row r="258" spans="1:21" ht="21.95" customHeight="1">
      <c r="A258" s="19" t="s">
        <v>1754</v>
      </c>
      <c r="B258" s="24" t="s">
        <v>433</v>
      </c>
      <c r="C258" s="1">
        <f t="shared" si="60"/>
        <v>300000</v>
      </c>
      <c r="D258" s="21">
        <f t="shared" si="58"/>
        <v>0</v>
      </c>
      <c r="E258" s="21">
        <v>0</v>
      </c>
      <c r="F258" s="21">
        <v>0</v>
      </c>
      <c r="G258" s="21">
        <v>0</v>
      </c>
      <c r="H258" s="21">
        <v>0</v>
      </c>
      <c r="I258" s="21">
        <v>0</v>
      </c>
      <c r="J258" s="21">
        <v>0</v>
      </c>
      <c r="K258" s="40">
        <v>0</v>
      </c>
      <c r="L258" s="21">
        <v>0</v>
      </c>
      <c r="M258" s="21">
        <v>0</v>
      </c>
      <c r="N258" s="21">
        <v>0</v>
      </c>
      <c r="O258" s="21">
        <v>0</v>
      </c>
      <c r="P258" s="21">
        <v>0</v>
      </c>
      <c r="Q258" s="21">
        <v>0</v>
      </c>
      <c r="R258" s="21">
        <v>0</v>
      </c>
      <c r="S258" s="21">
        <v>0</v>
      </c>
      <c r="T258" s="21">
        <v>0</v>
      </c>
      <c r="U258" s="21">
        <v>300000</v>
      </c>
    </row>
    <row r="259" spans="1:21" ht="21.95" customHeight="1">
      <c r="A259" s="19" t="s">
        <v>1755</v>
      </c>
      <c r="B259" s="24" t="s">
        <v>417</v>
      </c>
      <c r="C259" s="1">
        <f t="shared" si="60"/>
        <v>4794250</v>
      </c>
      <c r="D259" s="21">
        <f t="shared" si="58"/>
        <v>4594250</v>
      </c>
      <c r="E259" s="21">
        <f>350*1955</f>
        <v>684250</v>
      </c>
      <c r="F259" s="21">
        <f>800*1955</f>
        <v>1564000</v>
      </c>
      <c r="G259" s="21">
        <f>300*1955</f>
        <v>586500</v>
      </c>
      <c r="H259" s="21">
        <f>500*1955</f>
        <v>977500</v>
      </c>
      <c r="I259" s="21">
        <f>400*1955</f>
        <v>782000</v>
      </c>
      <c r="J259" s="21">
        <f>350*0</f>
        <v>0</v>
      </c>
      <c r="K259" s="40">
        <v>0</v>
      </c>
      <c r="L259" s="21">
        <v>0</v>
      </c>
      <c r="M259" s="21">
        <v>0</v>
      </c>
      <c r="N259" s="21">
        <v>0</v>
      </c>
      <c r="O259" s="21">
        <v>0</v>
      </c>
      <c r="P259" s="21">
        <v>0</v>
      </c>
      <c r="Q259" s="21">
        <v>0</v>
      </c>
      <c r="R259" s="21">
        <v>0</v>
      </c>
      <c r="S259" s="21">
        <v>0</v>
      </c>
      <c r="T259" s="21">
        <v>0</v>
      </c>
      <c r="U259" s="21">
        <v>200000</v>
      </c>
    </row>
    <row r="260" spans="1:21" ht="21.95" customHeight="1">
      <c r="A260" s="19" t="s">
        <v>910</v>
      </c>
      <c r="B260" s="24" t="s">
        <v>520</v>
      </c>
      <c r="C260" s="1">
        <f t="shared" si="60"/>
        <v>20476560</v>
      </c>
      <c r="D260" s="21">
        <f t="shared" si="58"/>
        <v>8436500</v>
      </c>
      <c r="E260" s="21">
        <f>350*3590</f>
        <v>1256500</v>
      </c>
      <c r="F260" s="21">
        <f>800*3590</f>
        <v>2872000</v>
      </c>
      <c r="G260" s="21">
        <f>300*3590</f>
        <v>1077000</v>
      </c>
      <c r="H260" s="21">
        <f>500*3590</f>
        <v>1795000</v>
      </c>
      <c r="I260" s="21">
        <f>400*3590</f>
        <v>1436000</v>
      </c>
      <c r="J260" s="21">
        <f>350*0</f>
        <v>0</v>
      </c>
      <c r="K260" s="40">
        <v>0</v>
      </c>
      <c r="L260" s="21">
        <v>0</v>
      </c>
      <c r="M260" s="21">
        <v>1005.2</v>
      </c>
      <c r="N260" s="21">
        <f>M260*5300</f>
        <v>5327560</v>
      </c>
      <c r="O260" s="21">
        <v>0</v>
      </c>
      <c r="P260" s="21">
        <v>0</v>
      </c>
      <c r="Q260" s="21">
        <v>2500</v>
      </c>
      <c r="R260" s="21">
        <v>6512500</v>
      </c>
      <c r="S260" s="21">
        <v>0</v>
      </c>
      <c r="T260" s="21">
        <v>0</v>
      </c>
      <c r="U260" s="21">
        <v>200000</v>
      </c>
    </row>
    <row r="261" spans="1:21" ht="21.95" customHeight="1">
      <c r="A261" s="19" t="s">
        <v>1756</v>
      </c>
      <c r="B261" s="24" t="s">
        <v>852</v>
      </c>
      <c r="C261" s="1">
        <f t="shared" si="60"/>
        <v>28694690</v>
      </c>
      <c r="D261" s="21">
        <f t="shared" si="58"/>
        <v>12969180</v>
      </c>
      <c r="E261" s="21">
        <f>350*5518.8</f>
        <v>1931580</v>
      </c>
      <c r="F261" s="21">
        <f>800*5518.8</f>
        <v>4415040</v>
      </c>
      <c r="G261" s="21">
        <f>300*5518.8</f>
        <v>1655640</v>
      </c>
      <c r="H261" s="21">
        <f>500*5518.8</f>
        <v>2759400</v>
      </c>
      <c r="I261" s="21">
        <f>400*5518.8</f>
        <v>2207520</v>
      </c>
      <c r="J261" s="21">
        <f>350*0</f>
        <v>0</v>
      </c>
      <c r="K261" s="40">
        <v>2</v>
      </c>
      <c r="L261" s="21">
        <v>4300000</v>
      </c>
      <c r="M261" s="3">
        <v>613.20000000000005</v>
      </c>
      <c r="N261" s="3">
        <v>2023560</v>
      </c>
      <c r="O261" s="21">
        <v>819.8</v>
      </c>
      <c r="P261" s="21">
        <v>983760</v>
      </c>
      <c r="Q261" s="21">
        <v>3078</v>
      </c>
      <c r="R261" s="21">
        <v>8018190</v>
      </c>
      <c r="S261" s="21">
        <v>0</v>
      </c>
      <c r="T261" s="21">
        <v>0</v>
      </c>
      <c r="U261" s="21">
        <v>400000</v>
      </c>
    </row>
    <row r="262" spans="1:21" ht="21.95" customHeight="1">
      <c r="A262" s="19" t="s">
        <v>1948</v>
      </c>
      <c r="B262" s="24" t="s">
        <v>424</v>
      </c>
      <c r="C262" s="1">
        <f t="shared" si="60"/>
        <v>3052545</v>
      </c>
      <c r="D262" s="21">
        <f t="shared" si="58"/>
        <v>602545</v>
      </c>
      <c r="E262" s="21">
        <f>350*325.7</f>
        <v>113995</v>
      </c>
      <c r="F262" s="21">
        <f>800*325.7</f>
        <v>260560</v>
      </c>
      <c r="G262" s="21">
        <f>300*325.7</f>
        <v>97710</v>
      </c>
      <c r="H262" s="21">
        <f>800*0</f>
        <v>0</v>
      </c>
      <c r="I262" s="21">
        <f>400*325.7</f>
        <v>130280</v>
      </c>
      <c r="J262" s="21">
        <f>800*0</f>
        <v>0</v>
      </c>
      <c r="K262" s="40">
        <v>0</v>
      </c>
      <c r="L262" s="21">
        <v>0</v>
      </c>
      <c r="M262" s="21">
        <v>0</v>
      </c>
      <c r="N262" s="21">
        <v>0</v>
      </c>
      <c r="O262" s="21">
        <v>0</v>
      </c>
      <c r="P262" s="21">
        <v>0</v>
      </c>
      <c r="Q262" s="21">
        <v>750</v>
      </c>
      <c r="R262" s="21">
        <v>2250000</v>
      </c>
      <c r="S262" s="21">
        <v>0</v>
      </c>
      <c r="T262" s="21">
        <v>0</v>
      </c>
      <c r="U262" s="21">
        <v>200000</v>
      </c>
    </row>
    <row r="263" spans="1:21" ht="21.95" customHeight="1">
      <c r="A263" s="19" t="s">
        <v>1757</v>
      </c>
      <c r="B263" s="24" t="s">
        <v>388</v>
      </c>
      <c r="C263" s="1">
        <f t="shared" si="60"/>
        <v>6378060</v>
      </c>
      <c r="D263" s="21">
        <f t="shared" si="58"/>
        <v>0</v>
      </c>
      <c r="E263" s="21">
        <v>0</v>
      </c>
      <c r="F263" s="21">
        <v>0</v>
      </c>
      <c r="G263" s="21">
        <v>0</v>
      </c>
      <c r="H263" s="21">
        <v>0</v>
      </c>
      <c r="I263" s="21">
        <v>0</v>
      </c>
      <c r="J263" s="21">
        <v>0</v>
      </c>
      <c r="K263" s="40">
        <v>0</v>
      </c>
      <c r="L263" s="21">
        <v>0</v>
      </c>
      <c r="M263" s="21">
        <v>1090.2</v>
      </c>
      <c r="N263" s="21">
        <v>5778060</v>
      </c>
      <c r="O263" s="21">
        <v>0</v>
      </c>
      <c r="P263" s="21">
        <v>0</v>
      </c>
      <c r="Q263" s="21">
        <v>0</v>
      </c>
      <c r="R263" s="21">
        <v>0</v>
      </c>
      <c r="S263" s="21">
        <v>0</v>
      </c>
      <c r="T263" s="21">
        <v>0</v>
      </c>
      <c r="U263" s="21">
        <v>600000</v>
      </c>
    </row>
    <row r="264" spans="1:21" ht="21.95" customHeight="1">
      <c r="A264" s="19" t="s">
        <v>1758</v>
      </c>
      <c r="B264" s="35" t="s">
        <v>1536</v>
      </c>
      <c r="C264" s="1">
        <f t="shared" si="60"/>
        <v>4056177.6</v>
      </c>
      <c r="D264" s="21">
        <f t="shared" si="58"/>
        <v>0</v>
      </c>
      <c r="E264" s="21">
        <v>0</v>
      </c>
      <c r="F264" s="21">
        <v>0</v>
      </c>
      <c r="G264" s="21">
        <v>0</v>
      </c>
      <c r="H264" s="21">
        <v>0</v>
      </c>
      <c r="I264" s="21">
        <v>0</v>
      </c>
      <c r="J264" s="21">
        <v>0</v>
      </c>
      <c r="K264" s="40">
        <v>0</v>
      </c>
      <c r="L264" s="21">
        <v>0</v>
      </c>
      <c r="M264" s="21">
        <v>0</v>
      </c>
      <c r="N264" s="21">
        <v>0</v>
      </c>
      <c r="O264" s="21">
        <v>0</v>
      </c>
      <c r="P264" s="21">
        <v>0</v>
      </c>
      <c r="Q264" s="21">
        <v>1410</v>
      </c>
      <c r="R264" s="21">
        <v>4056177.6</v>
      </c>
      <c r="S264" s="21">
        <v>0</v>
      </c>
      <c r="T264" s="21">
        <v>0</v>
      </c>
      <c r="U264" s="21">
        <v>0</v>
      </c>
    </row>
    <row r="265" spans="1:21" ht="21.95" customHeight="1">
      <c r="A265" s="19" t="s">
        <v>1759</v>
      </c>
      <c r="B265" s="35" t="s">
        <v>1562</v>
      </c>
      <c r="C265" s="1">
        <f t="shared" si="60"/>
        <v>4764000</v>
      </c>
      <c r="D265" s="21">
        <f t="shared" ref="D265:D305" si="61">SUM(E265:J265)</f>
        <v>0</v>
      </c>
      <c r="E265" s="21">
        <v>0</v>
      </c>
      <c r="F265" s="21">
        <v>0</v>
      </c>
      <c r="G265" s="21">
        <v>0</v>
      </c>
      <c r="H265" s="21">
        <v>0</v>
      </c>
      <c r="I265" s="21">
        <v>0</v>
      </c>
      <c r="J265" s="21">
        <v>0</v>
      </c>
      <c r="K265" s="40">
        <v>0</v>
      </c>
      <c r="L265" s="21">
        <v>0</v>
      </c>
      <c r="M265" s="21">
        <v>1588</v>
      </c>
      <c r="N265" s="21">
        <v>4764000</v>
      </c>
      <c r="O265" s="21">
        <v>0</v>
      </c>
      <c r="P265" s="21">
        <v>0</v>
      </c>
      <c r="Q265" s="21">
        <v>0</v>
      </c>
      <c r="R265" s="21">
        <v>0</v>
      </c>
      <c r="S265" s="21">
        <v>0</v>
      </c>
      <c r="T265" s="21">
        <v>0</v>
      </c>
      <c r="U265" s="21">
        <v>0</v>
      </c>
    </row>
    <row r="266" spans="1:21" ht="21.95" customHeight="1">
      <c r="A266" s="19" t="s">
        <v>1760</v>
      </c>
      <c r="B266" s="35" t="s">
        <v>1560</v>
      </c>
      <c r="C266" s="1">
        <f t="shared" ref="C266:C329" si="62">D266+L266+N266+P266+R266+S266+T266+U266</f>
        <v>6542400</v>
      </c>
      <c r="D266" s="21">
        <f t="shared" si="61"/>
        <v>6542400</v>
      </c>
      <c r="E266" s="21">
        <f>350*2784</f>
        <v>974400</v>
      </c>
      <c r="F266" s="21">
        <f>800*2784</f>
        <v>2227200</v>
      </c>
      <c r="G266" s="21">
        <f>300*2784</f>
        <v>835200</v>
      </c>
      <c r="H266" s="21">
        <f>500*2784</f>
        <v>1392000</v>
      </c>
      <c r="I266" s="21">
        <f>400*2784</f>
        <v>1113600</v>
      </c>
      <c r="J266" s="21">
        <f>350*0</f>
        <v>0</v>
      </c>
      <c r="K266" s="40">
        <v>0</v>
      </c>
      <c r="L266" s="21">
        <v>0</v>
      </c>
      <c r="M266" s="21">
        <v>0</v>
      </c>
      <c r="N266" s="21">
        <v>0</v>
      </c>
      <c r="O266" s="21">
        <v>0</v>
      </c>
      <c r="P266" s="21">
        <v>0</v>
      </c>
      <c r="Q266" s="21">
        <v>0</v>
      </c>
      <c r="R266" s="21">
        <v>0</v>
      </c>
      <c r="S266" s="21">
        <v>0</v>
      </c>
      <c r="T266" s="21">
        <v>0</v>
      </c>
      <c r="U266" s="21">
        <v>0</v>
      </c>
    </row>
    <row r="267" spans="1:21" ht="21.95" customHeight="1">
      <c r="A267" s="19" t="s">
        <v>911</v>
      </c>
      <c r="B267" s="35" t="s">
        <v>1580</v>
      </c>
      <c r="C267" s="1">
        <f t="shared" si="62"/>
        <v>2803300</v>
      </c>
      <c r="D267" s="21">
        <f t="shared" si="61"/>
        <v>0</v>
      </c>
      <c r="E267" s="21">
        <v>0</v>
      </c>
      <c r="F267" s="21">
        <v>0</v>
      </c>
      <c r="G267" s="21">
        <v>0</v>
      </c>
      <c r="H267" s="21">
        <v>0</v>
      </c>
      <c r="I267" s="21">
        <v>0</v>
      </c>
      <c r="J267" s="21">
        <v>0</v>
      </c>
      <c r="K267" s="40">
        <v>0</v>
      </c>
      <c r="L267" s="21">
        <v>0</v>
      </c>
      <c r="M267" s="21">
        <v>271</v>
      </c>
      <c r="N267" s="21">
        <v>1300800</v>
      </c>
      <c r="O267" s="21">
        <v>0</v>
      </c>
      <c r="P267" s="21">
        <v>0</v>
      </c>
      <c r="Q267" s="21">
        <v>500</v>
      </c>
      <c r="R267" s="21">
        <v>1302500</v>
      </c>
      <c r="S267" s="21">
        <v>0</v>
      </c>
      <c r="T267" s="21">
        <v>0</v>
      </c>
      <c r="U267" s="21">
        <v>200000</v>
      </c>
    </row>
    <row r="268" spans="1:21" ht="21.95" customHeight="1">
      <c r="A268" s="19" t="s">
        <v>1761</v>
      </c>
      <c r="B268" s="35" t="s">
        <v>1542</v>
      </c>
      <c r="C268" s="1">
        <f t="shared" si="62"/>
        <v>2154607</v>
      </c>
      <c r="D268" s="21">
        <f t="shared" si="61"/>
        <v>0</v>
      </c>
      <c r="E268" s="21">
        <v>0</v>
      </c>
      <c r="F268" s="21">
        <v>0</v>
      </c>
      <c r="G268" s="21">
        <v>0</v>
      </c>
      <c r="H268" s="21">
        <v>0</v>
      </c>
      <c r="I268" s="21">
        <v>0</v>
      </c>
      <c r="J268" s="21">
        <v>0</v>
      </c>
      <c r="K268" s="40">
        <v>0</v>
      </c>
      <c r="L268" s="21">
        <v>0</v>
      </c>
      <c r="M268" s="21">
        <v>312.19</v>
      </c>
      <c r="N268" s="21">
        <v>1654607</v>
      </c>
      <c r="O268" s="21">
        <v>0</v>
      </c>
      <c r="P268" s="21">
        <v>0</v>
      </c>
      <c r="Q268" s="21">
        <v>0</v>
      </c>
      <c r="R268" s="21">
        <v>0</v>
      </c>
      <c r="S268" s="21">
        <v>0</v>
      </c>
      <c r="T268" s="21">
        <v>0</v>
      </c>
      <c r="U268" s="21">
        <v>500000</v>
      </c>
    </row>
    <row r="269" spans="1:21" ht="21.95" customHeight="1">
      <c r="A269" s="19" t="s">
        <v>1762</v>
      </c>
      <c r="B269" s="24" t="s">
        <v>462</v>
      </c>
      <c r="C269" s="1">
        <f t="shared" si="62"/>
        <v>1102475</v>
      </c>
      <c r="D269" s="21">
        <f t="shared" si="61"/>
        <v>902475</v>
      </c>
      <c r="E269" s="21">
        <f>350*859.5</f>
        <v>300825</v>
      </c>
      <c r="F269" s="21">
        <f>800*0</f>
        <v>0</v>
      </c>
      <c r="G269" s="21">
        <f>300*859.5</f>
        <v>257850</v>
      </c>
      <c r="H269" s="21">
        <f>500*0</f>
        <v>0</v>
      </c>
      <c r="I269" s="21">
        <f>400*859.5</f>
        <v>343800</v>
      </c>
      <c r="J269" s="21">
        <f>800*0</f>
        <v>0</v>
      </c>
      <c r="K269" s="40">
        <v>0</v>
      </c>
      <c r="L269" s="21">
        <v>0</v>
      </c>
      <c r="M269" s="21">
        <v>0</v>
      </c>
      <c r="N269" s="21">
        <v>0</v>
      </c>
      <c r="O269" s="21">
        <v>0</v>
      </c>
      <c r="P269" s="21">
        <v>0</v>
      </c>
      <c r="Q269" s="21">
        <v>0</v>
      </c>
      <c r="R269" s="21">
        <v>0</v>
      </c>
      <c r="S269" s="21">
        <v>0</v>
      </c>
      <c r="T269" s="21">
        <v>0</v>
      </c>
      <c r="U269" s="21">
        <v>200000</v>
      </c>
    </row>
    <row r="270" spans="1:21" ht="21.95" customHeight="1">
      <c r="A270" s="19" t="s">
        <v>1763</v>
      </c>
      <c r="B270" s="24" t="s">
        <v>468</v>
      </c>
      <c r="C270" s="1">
        <f t="shared" si="62"/>
        <v>1578000</v>
      </c>
      <c r="D270" s="21">
        <f t="shared" si="61"/>
        <v>0</v>
      </c>
      <c r="E270" s="21">
        <v>0</v>
      </c>
      <c r="F270" s="21">
        <v>0</v>
      </c>
      <c r="G270" s="21">
        <v>0</v>
      </c>
      <c r="H270" s="21">
        <v>0</v>
      </c>
      <c r="I270" s="21">
        <v>0</v>
      </c>
      <c r="J270" s="21">
        <v>0</v>
      </c>
      <c r="K270" s="40">
        <v>0</v>
      </c>
      <c r="L270" s="21">
        <v>0</v>
      </c>
      <c r="M270" s="21">
        <v>260</v>
      </c>
      <c r="N270" s="21">
        <f>M270*5300</f>
        <v>1378000</v>
      </c>
      <c r="O270" s="21">
        <v>0</v>
      </c>
      <c r="P270" s="21">
        <v>0</v>
      </c>
      <c r="Q270" s="21">
        <v>0</v>
      </c>
      <c r="R270" s="21">
        <v>0</v>
      </c>
      <c r="S270" s="21">
        <v>0</v>
      </c>
      <c r="T270" s="21">
        <v>0</v>
      </c>
      <c r="U270" s="21">
        <v>200000</v>
      </c>
    </row>
    <row r="271" spans="1:21" ht="21.95" customHeight="1">
      <c r="A271" s="19" t="s">
        <v>912</v>
      </c>
      <c r="B271" s="24" t="s">
        <v>472</v>
      </c>
      <c r="C271" s="1">
        <f t="shared" si="62"/>
        <v>4000100</v>
      </c>
      <c r="D271" s="21">
        <f t="shared" si="61"/>
        <v>0</v>
      </c>
      <c r="E271" s="21">
        <v>0</v>
      </c>
      <c r="F271" s="21">
        <v>0</v>
      </c>
      <c r="G271" s="21">
        <v>0</v>
      </c>
      <c r="H271" s="21">
        <v>0</v>
      </c>
      <c r="I271" s="21">
        <v>0</v>
      </c>
      <c r="J271" s="21">
        <v>0</v>
      </c>
      <c r="K271" s="40">
        <v>0</v>
      </c>
      <c r="L271" s="21">
        <v>0</v>
      </c>
      <c r="M271" s="21">
        <v>717</v>
      </c>
      <c r="N271" s="21">
        <f>M271*5300</f>
        <v>3800100</v>
      </c>
      <c r="O271" s="21">
        <v>0</v>
      </c>
      <c r="P271" s="21">
        <v>0</v>
      </c>
      <c r="Q271" s="21">
        <v>0</v>
      </c>
      <c r="R271" s="21">
        <v>0</v>
      </c>
      <c r="S271" s="21">
        <v>0</v>
      </c>
      <c r="T271" s="21">
        <v>0</v>
      </c>
      <c r="U271" s="21">
        <v>200000</v>
      </c>
    </row>
    <row r="272" spans="1:21" ht="21.95" customHeight="1">
      <c r="A272" s="19" t="s">
        <v>1764</v>
      </c>
      <c r="B272" s="35" t="s">
        <v>1552</v>
      </c>
      <c r="C272" s="1">
        <f t="shared" si="62"/>
        <v>4157000</v>
      </c>
      <c r="D272" s="21">
        <f t="shared" si="61"/>
        <v>0</v>
      </c>
      <c r="E272" s="21">
        <v>0</v>
      </c>
      <c r="F272" s="21">
        <v>0</v>
      </c>
      <c r="G272" s="21">
        <v>0</v>
      </c>
      <c r="H272" s="21">
        <v>0</v>
      </c>
      <c r="I272" s="21">
        <v>0</v>
      </c>
      <c r="J272" s="21">
        <v>0</v>
      </c>
      <c r="K272" s="40">
        <v>0</v>
      </c>
      <c r="L272" s="21">
        <v>0</v>
      </c>
      <c r="M272" s="21">
        <v>690</v>
      </c>
      <c r="N272" s="21">
        <v>3657000</v>
      </c>
      <c r="O272" s="21">
        <v>0</v>
      </c>
      <c r="P272" s="21">
        <v>0</v>
      </c>
      <c r="Q272" s="21">
        <v>0</v>
      </c>
      <c r="R272" s="21">
        <v>0</v>
      </c>
      <c r="S272" s="21">
        <v>0</v>
      </c>
      <c r="T272" s="21">
        <v>0</v>
      </c>
      <c r="U272" s="21">
        <v>500000</v>
      </c>
    </row>
    <row r="273" spans="1:21" ht="21.95" customHeight="1">
      <c r="A273" s="19" t="s">
        <v>1351</v>
      </c>
      <c r="B273" s="24" t="s">
        <v>452</v>
      </c>
      <c r="C273" s="1">
        <f t="shared" si="62"/>
        <v>300000</v>
      </c>
      <c r="D273" s="21">
        <f t="shared" si="61"/>
        <v>0</v>
      </c>
      <c r="E273" s="21">
        <v>0</v>
      </c>
      <c r="F273" s="21">
        <v>0</v>
      </c>
      <c r="G273" s="21">
        <v>0</v>
      </c>
      <c r="H273" s="21">
        <v>0</v>
      </c>
      <c r="I273" s="21">
        <v>0</v>
      </c>
      <c r="J273" s="21">
        <v>0</v>
      </c>
      <c r="K273" s="40">
        <v>0</v>
      </c>
      <c r="L273" s="21">
        <v>0</v>
      </c>
      <c r="M273" s="21">
        <v>0</v>
      </c>
      <c r="N273" s="21">
        <v>0</v>
      </c>
      <c r="O273" s="21">
        <v>0</v>
      </c>
      <c r="P273" s="21">
        <v>0</v>
      </c>
      <c r="Q273" s="21">
        <v>0</v>
      </c>
      <c r="R273" s="21">
        <v>0</v>
      </c>
      <c r="S273" s="21">
        <v>0</v>
      </c>
      <c r="T273" s="21">
        <v>0</v>
      </c>
      <c r="U273" s="21">
        <v>300000</v>
      </c>
    </row>
    <row r="274" spans="1:21" ht="21.95" customHeight="1">
      <c r="A274" s="19" t="s">
        <v>913</v>
      </c>
      <c r="B274" s="31" t="s">
        <v>453</v>
      </c>
      <c r="C274" s="1">
        <f t="shared" si="62"/>
        <v>3643690</v>
      </c>
      <c r="D274" s="21">
        <f t="shared" si="61"/>
        <v>3443690</v>
      </c>
      <c r="E274" s="21">
        <f>350*1465.4</f>
        <v>512890.00000000006</v>
      </c>
      <c r="F274" s="21">
        <f>800*1465.4</f>
        <v>1172320</v>
      </c>
      <c r="G274" s="21">
        <f>300*1465.4</f>
        <v>439620</v>
      </c>
      <c r="H274" s="21">
        <f>500*1465.4</f>
        <v>732700</v>
      </c>
      <c r="I274" s="21">
        <f>400*1465.4</f>
        <v>586160</v>
      </c>
      <c r="J274" s="21">
        <f>800*0</f>
        <v>0</v>
      </c>
      <c r="K274" s="40">
        <v>0</v>
      </c>
      <c r="L274" s="21">
        <v>0</v>
      </c>
      <c r="M274" s="21">
        <v>0</v>
      </c>
      <c r="N274" s="21">
        <v>0</v>
      </c>
      <c r="O274" s="21">
        <v>0</v>
      </c>
      <c r="P274" s="21">
        <v>0</v>
      </c>
      <c r="Q274" s="21">
        <v>0</v>
      </c>
      <c r="R274" s="21">
        <v>0</v>
      </c>
      <c r="S274" s="21">
        <v>0</v>
      </c>
      <c r="T274" s="21">
        <v>0</v>
      </c>
      <c r="U274" s="21">
        <v>200000</v>
      </c>
    </row>
    <row r="275" spans="1:21" ht="21.95" customHeight="1">
      <c r="A275" s="19" t="s">
        <v>1765</v>
      </c>
      <c r="B275" s="30" t="s">
        <v>473</v>
      </c>
      <c r="C275" s="1">
        <f t="shared" si="62"/>
        <v>6391460</v>
      </c>
      <c r="D275" s="21">
        <f t="shared" si="61"/>
        <v>0</v>
      </c>
      <c r="E275" s="21">
        <v>0</v>
      </c>
      <c r="F275" s="21">
        <v>0</v>
      </c>
      <c r="G275" s="21">
        <v>0</v>
      </c>
      <c r="H275" s="21">
        <v>0</v>
      </c>
      <c r="I275" s="21">
        <v>0</v>
      </c>
      <c r="J275" s="21">
        <v>0</v>
      </c>
      <c r="K275" s="40">
        <v>0</v>
      </c>
      <c r="L275" s="21">
        <v>0</v>
      </c>
      <c r="M275" s="21">
        <v>1168.2</v>
      </c>
      <c r="N275" s="21">
        <v>6191460</v>
      </c>
      <c r="O275" s="21">
        <v>0</v>
      </c>
      <c r="P275" s="21">
        <v>0</v>
      </c>
      <c r="Q275" s="21">
        <v>0</v>
      </c>
      <c r="R275" s="21">
        <v>0</v>
      </c>
      <c r="S275" s="21">
        <v>0</v>
      </c>
      <c r="T275" s="21">
        <v>0</v>
      </c>
      <c r="U275" s="21">
        <v>200000</v>
      </c>
    </row>
    <row r="276" spans="1:21" ht="21.95" customHeight="1">
      <c r="A276" s="19" t="s">
        <v>914</v>
      </c>
      <c r="B276" s="24" t="s">
        <v>504</v>
      </c>
      <c r="C276" s="1">
        <f t="shared" si="62"/>
        <v>3709130</v>
      </c>
      <c r="D276" s="21">
        <f t="shared" si="61"/>
        <v>0</v>
      </c>
      <c r="E276" s="21">
        <v>0</v>
      </c>
      <c r="F276" s="21">
        <v>0</v>
      </c>
      <c r="G276" s="21">
        <v>0</v>
      </c>
      <c r="H276" s="21">
        <v>0</v>
      </c>
      <c r="I276" s="21">
        <v>0</v>
      </c>
      <c r="J276" s="21">
        <v>0</v>
      </c>
      <c r="K276" s="40">
        <v>0</v>
      </c>
      <c r="L276" s="21">
        <v>0</v>
      </c>
      <c r="M276" s="21">
        <v>662.1</v>
      </c>
      <c r="N276" s="21">
        <v>3509130</v>
      </c>
      <c r="O276" s="21">
        <v>0</v>
      </c>
      <c r="P276" s="21">
        <v>0</v>
      </c>
      <c r="Q276" s="21">
        <v>0</v>
      </c>
      <c r="R276" s="21">
        <v>0</v>
      </c>
      <c r="S276" s="21">
        <v>0</v>
      </c>
      <c r="T276" s="21">
        <v>0</v>
      </c>
      <c r="U276" s="21">
        <v>200000</v>
      </c>
    </row>
    <row r="277" spans="1:21" ht="21.95" customHeight="1">
      <c r="A277" s="19" t="s">
        <v>1766</v>
      </c>
      <c r="B277" s="35" t="s">
        <v>1553</v>
      </c>
      <c r="C277" s="1">
        <f t="shared" si="62"/>
        <v>14152358.279999999</v>
      </c>
      <c r="D277" s="21">
        <f t="shared" si="61"/>
        <v>0</v>
      </c>
      <c r="E277" s="21">
        <v>0</v>
      </c>
      <c r="F277" s="21">
        <v>0</v>
      </c>
      <c r="G277" s="21">
        <v>0</v>
      </c>
      <c r="H277" s="21">
        <v>0</v>
      </c>
      <c r="I277" s="21">
        <v>0</v>
      </c>
      <c r="J277" s="21">
        <v>0</v>
      </c>
      <c r="K277" s="40">
        <v>0</v>
      </c>
      <c r="L277" s="21">
        <v>0</v>
      </c>
      <c r="M277" s="21">
        <v>1081</v>
      </c>
      <c r="N277" s="21">
        <v>5729300</v>
      </c>
      <c r="O277" s="21">
        <v>0</v>
      </c>
      <c r="P277" s="21">
        <v>0</v>
      </c>
      <c r="Q277" s="21">
        <v>2900</v>
      </c>
      <c r="R277" s="21">
        <v>7554500</v>
      </c>
      <c r="S277" s="21">
        <v>0</v>
      </c>
      <c r="T277" s="21">
        <v>0</v>
      </c>
      <c r="U277" s="21">
        <v>868558.28</v>
      </c>
    </row>
    <row r="278" spans="1:21" ht="21.95" customHeight="1">
      <c r="A278" s="19" t="s">
        <v>1767</v>
      </c>
      <c r="B278" s="24" t="s">
        <v>398</v>
      </c>
      <c r="C278" s="1">
        <f t="shared" si="62"/>
        <v>24394094.739999998</v>
      </c>
      <c r="D278" s="21">
        <f t="shared" si="61"/>
        <v>8565750</v>
      </c>
      <c r="E278" s="21">
        <f>350*3645</f>
        <v>1275750</v>
      </c>
      <c r="F278" s="21">
        <f>800*3645</f>
        <v>2916000</v>
      </c>
      <c r="G278" s="21">
        <f>300*3645</f>
        <v>1093500</v>
      </c>
      <c r="H278" s="21">
        <f>500*3645</f>
        <v>1822500</v>
      </c>
      <c r="I278" s="21">
        <f>400*3645</f>
        <v>1458000</v>
      </c>
      <c r="J278" s="21">
        <f>350*0</f>
        <v>0</v>
      </c>
      <c r="K278" s="40">
        <v>0</v>
      </c>
      <c r="L278" s="21">
        <v>0</v>
      </c>
      <c r="M278" s="21">
        <v>1296</v>
      </c>
      <c r="N278" s="21">
        <v>6868800</v>
      </c>
      <c r="O278" s="21">
        <v>0</v>
      </c>
      <c r="P278" s="21">
        <v>0</v>
      </c>
      <c r="Q278" s="21">
        <v>3020</v>
      </c>
      <c r="R278" s="21">
        <v>7867100</v>
      </c>
      <c r="S278" s="21">
        <v>0</v>
      </c>
      <c r="T278" s="21">
        <v>0</v>
      </c>
      <c r="U278" s="21">
        <v>1092444.74</v>
      </c>
    </row>
    <row r="279" spans="1:21" ht="21.95" customHeight="1">
      <c r="A279" s="19" t="s">
        <v>915</v>
      </c>
      <c r="B279" s="35" t="s">
        <v>1554</v>
      </c>
      <c r="C279" s="1">
        <f t="shared" si="62"/>
        <v>9848688.5999999996</v>
      </c>
      <c r="D279" s="21">
        <f t="shared" si="61"/>
        <v>0</v>
      </c>
      <c r="E279" s="21">
        <v>0</v>
      </c>
      <c r="F279" s="21">
        <v>0</v>
      </c>
      <c r="G279" s="21">
        <v>0</v>
      </c>
      <c r="H279" s="21">
        <v>0</v>
      </c>
      <c r="I279" s="21">
        <v>0</v>
      </c>
      <c r="J279" s="21">
        <v>0</v>
      </c>
      <c r="K279" s="40">
        <v>0</v>
      </c>
      <c r="L279" s="21">
        <v>0</v>
      </c>
      <c r="M279" s="21">
        <v>637</v>
      </c>
      <c r="N279" s="21">
        <v>3376100</v>
      </c>
      <c r="O279" s="21">
        <v>0</v>
      </c>
      <c r="P279" s="21">
        <v>0</v>
      </c>
      <c r="Q279" s="21">
        <v>2200</v>
      </c>
      <c r="R279" s="21">
        <v>5731000</v>
      </c>
      <c r="S279" s="21">
        <v>0</v>
      </c>
      <c r="T279" s="21">
        <v>0</v>
      </c>
      <c r="U279" s="21">
        <v>741588.6</v>
      </c>
    </row>
    <row r="280" spans="1:21" ht="21.95" customHeight="1">
      <c r="A280" s="19" t="s">
        <v>916</v>
      </c>
      <c r="B280" s="30" t="s">
        <v>405</v>
      </c>
      <c r="C280" s="1">
        <f t="shared" si="62"/>
        <v>675100</v>
      </c>
      <c r="D280" s="21">
        <f t="shared" si="61"/>
        <v>0</v>
      </c>
      <c r="E280" s="21">
        <v>0</v>
      </c>
      <c r="F280" s="21">
        <v>0</v>
      </c>
      <c r="G280" s="21">
        <v>0</v>
      </c>
      <c r="H280" s="21">
        <v>0</v>
      </c>
      <c r="I280" s="21">
        <v>0</v>
      </c>
      <c r="J280" s="21">
        <v>0</v>
      </c>
      <c r="K280" s="40">
        <v>0</v>
      </c>
      <c r="L280" s="21">
        <v>0</v>
      </c>
      <c r="M280" s="21">
        <v>0</v>
      </c>
      <c r="N280" s="21">
        <v>0</v>
      </c>
      <c r="O280" s="21">
        <v>0</v>
      </c>
      <c r="P280" s="21">
        <v>0</v>
      </c>
      <c r="Q280" s="21">
        <v>0</v>
      </c>
      <c r="R280" s="21">
        <v>0</v>
      </c>
      <c r="S280" s="21">
        <v>275100</v>
      </c>
      <c r="T280" s="21">
        <v>0</v>
      </c>
      <c r="U280" s="21">
        <v>400000</v>
      </c>
    </row>
    <row r="281" spans="1:21" ht="21.95" customHeight="1">
      <c r="A281" s="19" t="s">
        <v>917</v>
      </c>
      <c r="B281" s="24" t="s">
        <v>406</v>
      </c>
      <c r="C281" s="1">
        <f t="shared" si="62"/>
        <v>6841805</v>
      </c>
      <c r="D281" s="21">
        <f t="shared" si="61"/>
        <v>6641805</v>
      </c>
      <c r="E281" s="21">
        <f>350*2826.3</f>
        <v>989205.00000000012</v>
      </c>
      <c r="F281" s="21">
        <f>800*2826.3</f>
        <v>2261040</v>
      </c>
      <c r="G281" s="21">
        <f>300*2826.3</f>
        <v>847890</v>
      </c>
      <c r="H281" s="21">
        <f>500*2826.3</f>
        <v>1413150</v>
      </c>
      <c r="I281" s="21">
        <f>400*2826.3</f>
        <v>1130520</v>
      </c>
      <c r="J281" s="21">
        <f>350*0</f>
        <v>0</v>
      </c>
      <c r="K281" s="40">
        <v>0</v>
      </c>
      <c r="L281" s="21">
        <v>0</v>
      </c>
      <c r="M281" s="21">
        <v>0</v>
      </c>
      <c r="N281" s="21">
        <v>0</v>
      </c>
      <c r="O281" s="21">
        <v>0</v>
      </c>
      <c r="P281" s="21">
        <v>0</v>
      </c>
      <c r="Q281" s="21">
        <v>0</v>
      </c>
      <c r="R281" s="21">
        <v>0</v>
      </c>
      <c r="S281" s="21">
        <v>0</v>
      </c>
      <c r="T281" s="21">
        <v>0</v>
      </c>
      <c r="U281" s="21">
        <v>200000</v>
      </c>
    </row>
    <row r="282" spans="1:21" ht="21.95" customHeight="1">
      <c r="A282" s="19" t="s">
        <v>918</v>
      </c>
      <c r="B282" s="24" t="s">
        <v>474</v>
      </c>
      <c r="C282" s="1">
        <f t="shared" si="62"/>
        <v>12184060</v>
      </c>
      <c r="D282" s="21">
        <f t="shared" si="61"/>
        <v>11984060</v>
      </c>
      <c r="E282" s="21">
        <f>350*5099.6</f>
        <v>1784860.0000000002</v>
      </c>
      <c r="F282" s="21">
        <f>800*5099.6</f>
        <v>4079680.0000000005</v>
      </c>
      <c r="G282" s="21">
        <f>300*5099.6</f>
        <v>1529880</v>
      </c>
      <c r="H282" s="21">
        <f>500*5099.6</f>
        <v>2549800</v>
      </c>
      <c r="I282" s="21">
        <f>400*5099.6</f>
        <v>2039840.0000000002</v>
      </c>
      <c r="J282" s="21">
        <f>350*0</f>
        <v>0</v>
      </c>
      <c r="K282" s="40">
        <v>0</v>
      </c>
      <c r="L282" s="21">
        <v>0</v>
      </c>
      <c r="M282" s="21">
        <v>0</v>
      </c>
      <c r="N282" s="21">
        <v>0</v>
      </c>
      <c r="O282" s="21">
        <v>0</v>
      </c>
      <c r="P282" s="21">
        <v>0</v>
      </c>
      <c r="Q282" s="21">
        <v>0</v>
      </c>
      <c r="R282" s="21">
        <v>0</v>
      </c>
      <c r="S282" s="21">
        <v>0</v>
      </c>
      <c r="T282" s="21">
        <v>0</v>
      </c>
      <c r="U282" s="21">
        <v>200000</v>
      </c>
    </row>
    <row r="283" spans="1:21" ht="21.95" customHeight="1">
      <c r="A283" s="19" t="s">
        <v>1768</v>
      </c>
      <c r="B283" s="24" t="s">
        <v>418</v>
      </c>
      <c r="C283" s="1">
        <f t="shared" si="62"/>
        <v>1822265</v>
      </c>
      <c r="D283" s="21">
        <f t="shared" si="61"/>
        <v>1622265</v>
      </c>
      <c r="E283" s="21">
        <f>350*876.9</f>
        <v>306915</v>
      </c>
      <c r="F283" s="21">
        <f>800*876.9</f>
        <v>701520</v>
      </c>
      <c r="G283" s="21">
        <f>300*876.9</f>
        <v>263070</v>
      </c>
      <c r="H283" s="21">
        <v>0</v>
      </c>
      <c r="I283" s="21">
        <f>400*876.9</f>
        <v>350760</v>
      </c>
      <c r="J283" s="21">
        <f>350*0</f>
        <v>0</v>
      </c>
      <c r="K283" s="40">
        <v>0</v>
      </c>
      <c r="L283" s="21">
        <v>0</v>
      </c>
      <c r="M283" s="21">
        <v>0</v>
      </c>
      <c r="N283" s="21">
        <v>0</v>
      </c>
      <c r="O283" s="21">
        <v>0</v>
      </c>
      <c r="P283" s="21">
        <v>0</v>
      </c>
      <c r="Q283" s="21">
        <v>0</v>
      </c>
      <c r="R283" s="21">
        <v>0</v>
      </c>
      <c r="S283" s="21">
        <v>0</v>
      </c>
      <c r="T283" s="21">
        <v>0</v>
      </c>
      <c r="U283" s="21">
        <v>200000</v>
      </c>
    </row>
    <row r="284" spans="1:21" ht="21.95" customHeight="1">
      <c r="A284" s="19" t="s">
        <v>1769</v>
      </c>
      <c r="B284" s="24" t="s">
        <v>475</v>
      </c>
      <c r="C284" s="1">
        <f t="shared" si="62"/>
        <v>8577280</v>
      </c>
      <c r="D284" s="21">
        <f t="shared" si="61"/>
        <v>8377280</v>
      </c>
      <c r="E284" s="21">
        <f>350*3564.8</f>
        <v>1247680</v>
      </c>
      <c r="F284" s="21">
        <f>800*3564.8</f>
        <v>2851840</v>
      </c>
      <c r="G284" s="21">
        <f>300*3564.8</f>
        <v>1069440</v>
      </c>
      <c r="H284" s="21">
        <f>500*3564.8</f>
        <v>1782400</v>
      </c>
      <c r="I284" s="21">
        <f>400*3564.8</f>
        <v>1425920</v>
      </c>
      <c r="J284" s="21">
        <f>350*0</f>
        <v>0</v>
      </c>
      <c r="K284" s="40">
        <v>0</v>
      </c>
      <c r="L284" s="21">
        <v>0</v>
      </c>
      <c r="M284" s="21">
        <v>0</v>
      </c>
      <c r="N284" s="21">
        <v>0</v>
      </c>
      <c r="O284" s="21">
        <v>0</v>
      </c>
      <c r="P284" s="21">
        <v>0</v>
      </c>
      <c r="Q284" s="21">
        <v>0</v>
      </c>
      <c r="R284" s="21">
        <v>0</v>
      </c>
      <c r="S284" s="21">
        <v>0</v>
      </c>
      <c r="T284" s="21">
        <v>0</v>
      </c>
      <c r="U284" s="21">
        <v>200000</v>
      </c>
    </row>
    <row r="285" spans="1:21" ht="21.95" customHeight="1">
      <c r="A285" s="19" t="s">
        <v>1770</v>
      </c>
      <c r="B285" s="24" t="s">
        <v>389</v>
      </c>
      <c r="C285" s="1">
        <f t="shared" si="62"/>
        <v>3899250</v>
      </c>
      <c r="D285" s="21">
        <f t="shared" si="61"/>
        <v>0</v>
      </c>
      <c r="E285" s="21">
        <v>0</v>
      </c>
      <c r="F285" s="21">
        <v>0</v>
      </c>
      <c r="G285" s="21">
        <v>0</v>
      </c>
      <c r="H285" s="21">
        <v>0</v>
      </c>
      <c r="I285" s="21">
        <v>0</v>
      </c>
      <c r="J285" s="21">
        <v>0</v>
      </c>
      <c r="K285" s="40">
        <v>0</v>
      </c>
      <c r="L285" s="21">
        <v>0</v>
      </c>
      <c r="M285" s="21">
        <v>622.5</v>
      </c>
      <c r="N285" s="21">
        <v>3299250</v>
      </c>
      <c r="O285" s="21">
        <v>0</v>
      </c>
      <c r="P285" s="21">
        <v>0</v>
      </c>
      <c r="Q285" s="21">
        <v>0</v>
      </c>
      <c r="R285" s="21">
        <v>0</v>
      </c>
      <c r="S285" s="21">
        <v>0</v>
      </c>
      <c r="T285" s="21">
        <v>0</v>
      </c>
      <c r="U285" s="21">
        <v>600000</v>
      </c>
    </row>
    <row r="286" spans="1:21" ht="21.95" customHeight="1">
      <c r="A286" s="19" t="s">
        <v>919</v>
      </c>
      <c r="B286" s="24" t="s">
        <v>487</v>
      </c>
      <c r="C286" s="1">
        <f t="shared" si="62"/>
        <v>17028652</v>
      </c>
      <c r="D286" s="21">
        <f t="shared" si="61"/>
        <v>6776460</v>
      </c>
      <c r="E286" s="21">
        <f>350*2883.6</f>
        <v>1009260</v>
      </c>
      <c r="F286" s="21">
        <f>800*2883.6</f>
        <v>2306880</v>
      </c>
      <c r="G286" s="21">
        <f>300*2883.6</f>
        <v>865080</v>
      </c>
      <c r="H286" s="21">
        <f>500*2883.6</f>
        <v>1441800</v>
      </c>
      <c r="I286" s="21">
        <f>400*2883.6</f>
        <v>1153440</v>
      </c>
      <c r="J286" s="21">
        <f>350*0</f>
        <v>0</v>
      </c>
      <c r="K286" s="40">
        <v>0</v>
      </c>
      <c r="L286" s="21">
        <v>0</v>
      </c>
      <c r="M286" s="21">
        <v>938</v>
      </c>
      <c r="N286" s="21">
        <f>M286*5300</f>
        <v>4971400</v>
      </c>
      <c r="O286" s="21">
        <v>0</v>
      </c>
      <c r="P286" s="21">
        <v>0</v>
      </c>
      <c r="Q286" s="21">
        <v>1950.4</v>
      </c>
      <c r="R286" s="21">
        <f>Q286*2605</f>
        <v>5080792</v>
      </c>
      <c r="S286" s="21">
        <v>0</v>
      </c>
      <c r="T286" s="21">
        <v>0</v>
      </c>
      <c r="U286" s="21">
        <v>200000</v>
      </c>
    </row>
    <row r="287" spans="1:21" ht="21.95" customHeight="1">
      <c r="A287" s="19" t="s">
        <v>1771</v>
      </c>
      <c r="B287" s="30" t="s">
        <v>476</v>
      </c>
      <c r="C287" s="1">
        <f t="shared" si="62"/>
        <v>5282700</v>
      </c>
      <c r="D287" s="21">
        <f t="shared" si="61"/>
        <v>0</v>
      </c>
      <c r="E287" s="21">
        <v>0</v>
      </c>
      <c r="F287" s="21">
        <v>0</v>
      </c>
      <c r="G287" s="21">
        <v>0</v>
      </c>
      <c r="H287" s="21">
        <v>0</v>
      </c>
      <c r="I287" s="21">
        <v>0</v>
      </c>
      <c r="J287" s="21">
        <v>0</v>
      </c>
      <c r="K287" s="40">
        <v>0</v>
      </c>
      <c r="L287" s="21">
        <v>0</v>
      </c>
      <c r="M287" s="21">
        <v>959</v>
      </c>
      <c r="N287" s="21">
        <f>M287*5300</f>
        <v>5082700</v>
      </c>
      <c r="O287" s="21">
        <v>0</v>
      </c>
      <c r="P287" s="21">
        <v>0</v>
      </c>
      <c r="Q287" s="21">
        <v>0</v>
      </c>
      <c r="R287" s="21">
        <v>0</v>
      </c>
      <c r="S287" s="21">
        <v>0</v>
      </c>
      <c r="T287" s="21">
        <v>0</v>
      </c>
      <c r="U287" s="21">
        <v>200000</v>
      </c>
    </row>
    <row r="288" spans="1:21" ht="21.95" customHeight="1">
      <c r="A288" s="19" t="s">
        <v>1772</v>
      </c>
      <c r="B288" s="24" t="s">
        <v>488</v>
      </c>
      <c r="C288" s="1">
        <f t="shared" si="62"/>
        <v>300000</v>
      </c>
      <c r="D288" s="21">
        <f t="shared" si="61"/>
        <v>0</v>
      </c>
      <c r="E288" s="21">
        <v>0</v>
      </c>
      <c r="F288" s="21">
        <v>0</v>
      </c>
      <c r="G288" s="21">
        <v>0</v>
      </c>
      <c r="H288" s="21">
        <v>0</v>
      </c>
      <c r="I288" s="21">
        <v>0</v>
      </c>
      <c r="J288" s="21">
        <v>0</v>
      </c>
      <c r="K288" s="40">
        <v>0</v>
      </c>
      <c r="L288" s="21">
        <v>0</v>
      </c>
      <c r="M288" s="21">
        <v>0</v>
      </c>
      <c r="N288" s="21">
        <v>0</v>
      </c>
      <c r="O288" s="21">
        <v>0</v>
      </c>
      <c r="P288" s="21">
        <v>0</v>
      </c>
      <c r="Q288" s="21">
        <v>0</v>
      </c>
      <c r="R288" s="21">
        <v>0</v>
      </c>
      <c r="S288" s="21">
        <v>0</v>
      </c>
      <c r="T288" s="21">
        <v>0</v>
      </c>
      <c r="U288" s="21">
        <v>300000</v>
      </c>
    </row>
    <row r="289" spans="1:21" ht="21.95" customHeight="1">
      <c r="A289" s="19" t="s">
        <v>920</v>
      </c>
      <c r="B289" s="24" t="s">
        <v>505</v>
      </c>
      <c r="C289" s="1">
        <f t="shared" si="62"/>
        <v>2245800</v>
      </c>
      <c r="D289" s="21">
        <f t="shared" si="61"/>
        <v>0</v>
      </c>
      <c r="E289" s="21">
        <v>0</v>
      </c>
      <c r="F289" s="21">
        <v>0</v>
      </c>
      <c r="G289" s="21">
        <v>0</v>
      </c>
      <c r="H289" s="21">
        <v>0</v>
      </c>
      <c r="I289" s="21">
        <v>0</v>
      </c>
      <c r="J289" s="21">
        <v>0</v>
      </c>
      <c r="K289" s="40">
        <v>0</v>
      </c>
      <c r="L289" s="21">
        <v>0</v>
      </c>
      <c r="M289" s="21">
        <v>386</v>
      </c>
      <c r="N289" s="21">
        <v>2045800</v>
      </c>
      <c r="O289" s="21">
        <v>0</v>
      </c>
      <c r="P289" s="21">
        <v>0</v>
      </c>
      <c r="Q289" s="21">
        <v>0</v>
      </c>
      <c r="R289" s="21">
        <v>0</v>
      </c>
      <c r="S289" s="21">
        <v>0</v>
      </c>
      <c r="T289" s="21">
        <v>0</v>
      </c>
      <c r="U289" s="21">
        <v>200000</v>
      </c>
    </row>
    <row r="290" spans="1:21" ht="21.95" customHeight="1">
      <c r="A290" s="19" t="s">
        <v>1773</v>
      </c>
      <c r="B290" s="24" t="s">
        <v>419</v>
      </c>
      <c r="C290" s="1">
        <f t="shared" si="62"/>
        <v>200000</v>
      </c>
      <c r="D290" s="21">
        <f t="shared" si="61"/>
        <v>0</v>
      </c>
      <c r="E290" s="21">
        <v>0</v>
      </c>
      <c r="F290" s="21">
        <v>0</v>
      </c>
      <c r="G290" s="21">
        <v>0</v>
      </c>
      <c r="H290" s="21">
        <v>0</v>
      </c>
      <c r="I290" s="21">
        <v>0</v>
      </c>
      <c r="J290" s="21">
        <v>0</v>
      </c>
      <c r="K290" s="40">
        <v>0</v>
      </c>
      <c r="L290" s="21">
        <v>0</v>
      </c>
      <c r="M290" s="21">
        <v>0</v>
      </c>
      <c r="N290" s="21">
        <v>0</v>
      </c>
      <c r="O290" s="21">
        <v>0</v>
      </c>
      <c r="P290" s="21">
        <v>0</v>
      </c>
      <c r="Q290" s="21">
        <v>0</v>
      </c>
      <c r="R290" s="21">
        <v>0</v>
      </c>
      <c r="S290" s="21">
        <v>0</v>
      </c>
      <c r="T290" s="21">
        <v>0</v>
      </c>
      <c r="U290" s="21">
        <v>200000</v>
      </c>
    </row>
    <row r="291" spans="1:21" ht="21.95" customHeight="1">
      <c r="A291" s="19" t="s">
        <v>1774</v>
      </c>
      <c r="B291" s="24" t="s">
        <v>506</v>
      </c>
      <c r="C291" s="1">
        <f t="shared" si="62"/>
        <v>3724500</v>
      </c>
      <c r="D291" s="21">
        <f t="shared" si="61"/>
        <v>0</v>
      </c>
      <c r="E291" s="21">
        <v>0</v>
      </c>
      <c r="F291" s="21">
        <v>0</v>
      </c>
      <c r="G291" s="21">
        <v>0</v>
      </c>
      <c r="H291" s="21">
        <v>0</v>
      </c>
      <c r="I291" s="21">
        <v>0</v>
      </c>
      <c r="J291" s="21">
        <v>0</v>
      </c>
      <c r="K291" s="40">
        <v>0</v>
      </c>
      <c r="L291" s="21">
        <v>0</v>
      </c>
      <c r="M291" s="21">
        <v>665</v>
      </c>
      <c r="N291" s="21">
        <f>M291*5300</f>
        <v>3524500</v>
      </c>
      <c r="O291" s="21">
        <v>0</v>
      </c>
      <c r="P291" s="21">
        <v>0</v>
      </c>
      <c r="Q291" s="21">
        <v>0</v>
      </c>
      <c r="R291" s="21">
        <v>0</v>
      </c>
      <c r="S291" s="21">
        <v>0</v>
      </c>
      <c r="T291" s="21">
        <v>0</v>
      </c>
      <c r="U291" s="21">
        <v>200000</v>
      </c>
    </row>
    <row r="292" spans="1:21" ht="21.95" customHeight="1">
      <c r="A292" s="19" t="s">
        <v>1775</v>
      </c>
      <c r="B292" s="24" t="s">
        <v>489</v>
      </c>
      <c r="C292" s="1">
        <f t="shared" si="62"/>
        <v>3352440</v>
      </c>
      <c r="D292" s="21">
        <f t="shared" si="61"/>
        <v>0</v>
      </c>
      <c r="E292" s="21">
        <v>0</v>
      </c>
      <c r="F292" s="21">
        <v>0</v>
      </c>
      <c r="G292" s="21">
        <v>0</v>
      </c>
      <c r="H292" s="21">
        <v>0</v>
      </c>
      <c r="I292" s="21">
        <v>0</v>
      </c>
      <c r="J292" s="21">
        <v>0</v>
      </c>
      <c r="K292" s="40">
        <v>0</v>
      </c>
      <c r="L292" s="21">
        <v>0</v>
      </c>
      <c r="M292" s="21">
        <v>594.79999999999995</v>
      </c>
      <c r="N292" s="21">
        <v>3152440</v>
      </c>
      <c r="O292" s="21">
        <v>0</v>
      </c>
      <c r="P292" s="21">
        <v>0</v>
      </c>
      <c r="Q292" s="21">
        <v>0</v>
      </c>
      <c r="R292" s="21">
        <v>0</v>
      </c>
      <c r="S292" s="21">
        <v>0</v>
      </c>
      <c r="T292" s="21">
        <v>0</v>
      </c>
      <c r="U292" s="21">
        <v>200000</v>
      </c>
    </row>
    <row r="293" spans="1:21" ht="21.95" customHeight="1">
      <c r="A293" s="19" t="s">
        <v>1776</v>
      </c>
      <c r="B293" s="24" t="s">
        <v>399</v>
      </c>
      <c r="C293" s="1">
        <f t="shared" si="62"/>
        <v>2212102</v>
      </c>
      <c r="D293" s="21">
        <f t="shared" si="61"/>
        <v>0</v>
      </c>
      <c r="E293" s="21">
        <v>0</v>
      </c>
      <c r="F293" s="21">
        <v>0</v>
      </c>
      <c r="G293" s="21">
        <v>0</v>
      </c>
      <c r="H293" s="21">
        <v>0</v>
      </c>
      <c r="I293" s="21">
        <v>0</v>
      </c>
      <c r="J293" s="21">
        <v>0</v>
      </c>
      <c r="K293" s="40">
        <v>0</v>
      </c>
      <c r="L293" s="21">
        <v>0</v>
      </c>
      <c r="M293" s="21">
        <v>0</v>
      </c>
      <c r="N293" s="21">
        <v>0</v>
      </c>
      <c r="O293" s="21">
        <v>0</v>
      </c>
      <c r="P293" s="21">
        <v>0</v>
      </c>
      <c r="Q293" s="21">
        <v>772.4</v>
      </c>
      <c r="R293" s="21">
        <f>Q293*2605</f>
        <v>2012102</v>
      </c>
      <c r="S293" s="21">
        <v>0</v>
      </c>
      <c r="T293" s="21">
        <v>0</v>
      </c>
      <c r="U293" s="21">
        <v>200000</v>
      </c>
    </row>
    <row r="294" spans="1:21" ht="21.95" customHeight="1">
      <c r="A294" s="19" t="s">
        <v>1777</v>
      </c>
      <c r="B294" s="24" t="s">
        <v>477</v>
      </c>
      <c r="C294" s="1">
        <f t="shared" si="62"/>
        <v>4471800</v>
      </c>
      <c r="D294" s="21">
        <f t="shared" si="61"/>
        <v>0</v>
      </c>
      <c r="E294" s="21">
        <v>0</v>
      </c>
      <c r="F294" s="21">
        <v>0</v>
      </c>
      <c r="G294" s="21">
        <v>0</v>
      </c>
      <c r="H294" s="21">
        <v>0</v>
      </c>
      <c r="I294" s="21">
        <v>0</v>
      </c>
      <c r="J294" s="21">
        <v>0</v>
      </c>
      <c r="K294" s="40">
        <v>0</v>
      </c>
      <c r="L294" s="21">
        <v>0</v>
      </c>
      <c r="M294" s="21">
        <v>806</v>
      </c>
      <c r="N294" s="21">
        <f>M294*5300</f>
        <v>4271800</v>
      </c>
      <c r="O294" s="21">
        <v>0</v>
      </c>
      <c r="P294" s="21">
        <v>0</v>
      </c>
      <c r="Q294" s="21">
        <v>0</v>
      </c>
      <c r="R294" s="21">
        <v>0</v>
      </c>
      <c r="S294" s="21">
        <v>0</v>
      </c>
      <c r="T294" s="21">
        <v>0</v>
      </c>
      <c r="U294" s="21">
        <v>200000</v>
      </c>
    </row>
    <row r="295" spans="1:21" ht="21.95" customHeight="1">
      <c r="A295" s="19" t="s">
        <v>1778</v>
      </c>
      <c r="B295" s="24" t="s">
        <v>463</v>
      </c>
      <c r="C295" s="1">
        <f t="shared" si="62"/>
        <v>8841180</v>
      </c>
      <c r="D295" s="21">
        <f t="shared" si="61"/>
        <v>2368740.0000000005</v>
      </c>
      <c r="E295" s="21">
        <f>350*1280.4</f>
        <v>448140.00000000006</v>
      </c>
      <c r="F295" s="21">
        <f>800*1280.4</f>
        <v>1024320.0000000001</v>
      </c>
      <c r="G295" s="21">
        <f>300*1280.4</f>
        <v>384120</v>
      </c>
      <c r="H295" s="21">
        <f>500*0</f>
        <v>0</v>
      </c>
      <c r="I295" s="21">
        <f>400*1280.4</f>
        <v>512160.00000000006</v>
      </c>
      <c r="J295" s="21">
        <f>350*0</f>
        <v>0</v>
      </c>
      <c r="K295" s="40">
        <v>0</v>
      </c>
      <c r="L295" s="21">
        <v>0</v>
      </c>
      <c r="M295" s="21">
        <v>806</v>
      </c>
      <c r="N295" s="21">
        <v>4271800</v>
      </c>
      <c r="O295" s="21">
        <v>0</v>
      </c>
      <c r="P295" s="21">
        <v>0</v>
      </c>
      <c r="Q295" s="21">
        <v>768</v>
      </c>
      <c r="R295" s="21">
        <v>2000640</v>
      </c>
      <c r="S295" s="21">
        <v>0</v>
      </c>
      <c r="T295" s="21">
        <v>0</v>
      </c>
      <c r="U295" s="21">
        <v>200000</v>
      </c>
    </row>
    <row r="296" spans="1:21" ht="21.95" customHeight="1">
      <c r="A296" s="19" t="s">
        <v>1779</v>
      </c>
      <c r="B296" s="24" t="s">
        <v>425</v>
      </c>
      <c r="C296" s="1">
        <f t="shared" si="62"/>
        <v>300000</v>
      </c>
      <c r="D296" s="21">
        <f t="shared" si="61"/>
        <v>0</v>
      </c>
      <c r="E296" s="21">
        <v>0</v>
      </c>
      <c r="F296" s="21">
        <v>0</v>
      </c>
      <c r="G296" s="21">
        <v>0</v>
      </c>
      <c r="H296" s="21">
        <v>0</v>
      </c>
      <c r="I296" s="21">
        <v>0</v>
      </c>
      <c r="J296" s="21">
        <v>0</v>
      </c>
      <c r="K296" s="40">
        <v>0</v>
      </c>
      <c r="L296" s="21">
        <v>0</v>
      </c>
      <c r="M296" s="21">
        <v>0</v>
      </c>
      <c r="N296" s="21">
        <v>0</v>
      </c>
      <c r="O296" s="21">
        <v>0</v>
      </c>
      <c r="P296" s="21">
        <v>0</v>
      </c>
      <c r="Q296" s="21">
        <v>0</v>
      </c>
      <c r="R296" s="21">
        <v>0</v>
      </c>
      <c r="S296" s="21">
        <v>0</v>
      </c>
      <c r="T296" s="21">
        <v>0</v>
      </c>
      <c r="U296" s="21">
        <v>300000</v>
      </c>
    </row>
    <row r="297" spans="1:21" ht="21.95" customHeight="1">
      <c r="A297" s="19" t="s">
        <v>1780</v>
      </c>
      <c r="B297" s="24" t="s">
        <v>490</v>
      </c>
      <c r="C297" s="1">
        <f t="shared" si="62"/>
        <v>4122000</v>
      </c>
      <c r="D297" s="21">
        <f t="shared" ref="D297:D304" si="63">SUM(E297:J297)</f>
        <v>0</v>
      </c>
      <c r="E297" s="21">
        <v>0</v>
      </c>
      <c r="F297" s="21">
        <v>0</v>
      </c>
      <c r="G297" s="21">
        <v>0</v>
      </c>
      <c r="H297" s="21">
        <v>0</v>
      </c>
      <c r="I297" s="21">
        <v>0</v>
      </c>
      <c r="J297" s="21">
        <v>0</v>
      </c>
      <c r="K297" s="40">
        <v>0</v>
      </c>
      <c r="L297" s="21">
        <v>0</v>
      </c>
      <c r="M297" s="21">
        <v>740</v>
      </c>
      <c r="N297" s="21">
        <f>M297*5300</f>
        <v>3922000</v>
      </c>
      <c r="O297" s="21">
        <v>0</v>
      </c>
      <c r="P297" s="21">
        <v>0</v>
      </c>
      <c r="Q297" s="21">
        <v>0</v>
      </c>
      <c r="R297" s="21">
        <v>0</v>
      </c>
      <c r="S297" s="21">
        <v>0</v>
      </c>
      <c r="T297" s="21">
        <v>0</v>
      </c>
      <c r="U297" s="21">
        <v>200000</v>
      </c>
    </row>
    <row r="298" spans="1:21" ht="21.95" customHeight="1">
      <c r="A298" s="19" t="s">
        <v>1781</v>
      </c>
      <c r="B298" s="35" t="s">
        <v>1581</v>
      </c>
      <c r="C298" s="1">
        <f t="shared" si="62"/>
        <v>2529171.04</v>
      </c>
      <c r="D298" s="21">
        <f t="shared" si="63"/>
        <v>0</v>
      </c>
      <c r="E298" s="21">
        <v>0</v>
      </c>
      <c r="F298" s="21">
        <v>0</v>
      </c>
      <c r="G298" s="21">
        <v>0</v>
      </c>
      <c r="H298" s="21">
        <v>0</v>
      </c>
      <c r="I298" s="21">
        <v>0</v>
      </c>
      <c r="J298" s="21">
        <v>0</v>
      </c>
      <c r="K298" s="40">
        <v>0</v>
      </c>
      <c r="L298" s="21">
        <v>0</v>
      </c>
      <c r="M298" s="21">
        <v>423</v>
      </c>
      <c r="N298" s="21">
        <v>2241900</v>
      </c>
      <c r="O298" s="21">
        <v>0</v>
      </c>
      <c r="P298" s="21">
        <v>0</v>
      </c>
      <c r="Q298" s="21">
        <v>0</v>
      </c>
      <c r="R298" s="21">
        <v>0</v>
      </c>
      <c r="S298" s="21">
        <v>0</v>
      </c>
      <c r="T298" s="21">
        <v>0</v>
      </c>
      <c r="U298" s="21">
        <v>287271.03999999998</v>
      </c>
    </row>
    <row r="299" spans="1:21" ht="21.95" customHeight="1">
      <c r="A299" s="19" t="s">
        <v>921</v>
      </c>
      <c r="B299" s="35" t="s">
        <v>1533</v>
      </c>
      <c r="C299" s="1">
        <f t="shared" si="62"/>
        <v>5839710</v>
      </c>
      <c r="D299" s="21">
        <f t="shared" si="63"/>
        <v>0</v>
      </c>
      <c r="E299" s="21">
        <v>0</v>
      </c>
      <c r="F299" s="21">
        <v>0</v>
      </c>
      <c r="G299" s="21">
        <v>0</v>
      </c>
      <c r="H299" s="21">
        <v>0</v>
      </c>
      <c r="I299" s="21">
        <v>0</v>
      </c>
      <c r="J299" s="21">
        <v>0</v>
      </c>
      <c r="K299" s="40">
        <v>0</v>
      </c>
      <c r="L299" s="21">
        <v>0</v>
      </c>
      <c r="M299" s="21">
        <v>740</v>
      </c>
      <c r="N299" s="21">
        <v>3922000</v>
      </c>
      <c r="O299" s="21">
        <v>0</v>
      </c>
      <c r="P299" s="21">
        <v>0</v>
      </c>
      <c r="Q299" s="21">
        <v>662</v>
      </c>
      <c r="R299" s="21">
        <v>1724510</v>
      </c>
      <c r="S299" s="21">
        <v>193200</v>
      </c>
      <c r="T299" s="21">
        <v>0</v>
      </c>
      <c r="U299" s="21">
        <v>0</v>
      </c>
    </row>
    <row r="300" spans="1:21" ht="21.95" customHeight="1">
      <c r="A300" s="19" t="s">
        <v>1782</v>
      </c>
      <c r="B300" s="24" t="s">
        <v>447</v>
      </c>
      <c r="C300" s="1">
        <f t="shared" si="62"/>
        <v>7284472.5</v>
      </c>
      <c r="D300" s="21">
        <f t="shared" si="63"/>
        <v>3455707.5</v>
      </c>
      <c r="E300" s="21">
        <f>350*1867.95</f>
        <v>653782.5</v>
      </c>
      <c r="F300" s="21">
        <f>800*1867.95</f>
        <v>1494360</v>
      </c>
      <c r="G300" s="21">
        <f>300*1867.95</f>
        <v>560385</v>
      </c>
      <c r="H300" s="21">
        <v>0</v>
      </c>
      <c r="I300" s="21">
        <f>400*1867.95</f>
        <v>747180</v>
      </c>
      <c r="J300" s="21">
        <f>350*0</f>
        <v>0</v>
      </c>
      <c r="K300" s="40">
        <v>0</v>
      </c>
      <c r="L300" s="21">
        <v>0</v>
      </c>
      <c r="M300" s="21">
        <v>0</v>
      </c>
      <c r="N300" s="21">
        <v>0</v>
      </c>
      <c r="O300" s="21">
        <v>0</v>
      </c>
      <c r="P300" s="21">
        <v>0</v>
      </c>
      <c r="Q300" s="21">
        <v>1393</v>
      </c>
      <c r="R300" s="21">
        <f>Q300*2605</f>
        <v>3628765</v>
      </c>
      <c r="S300" s="21">
        <v>0</v>
      </c>
      <c r="T300" s="21">
        <v>0</v>
      </c>
      <c r="U300" s="21">
        <v>200000</v>
      </c>
    </row>
    <row r="301" spans="1:21" ht="21.95" customHeight="1">
      <c r="A301" s="19" t="s">
        <v>1783</v>
      </c>
      <c r="B301" s="24" t="s">
        <v>491</v>
      </c>
      <c r="C301" s="1">
        <f t="shared" si="62"/>
        <v>300000</v>
      </c>
      <c r="D301" s="21">
        <f t="shared" si="63"/>
        <v>0</v>
      </c>
      <c r="E301" s="21">
        <v>0</v>
      </c>
      <c r="F301" s="21">
        <v>0</v>
      </c>
      <c r="G301" s="21">
        <v>0</v>
      </c>
      <c r="H301" s="21">
        <v>0</v>
      </c>
      <c r="I301" s="21">
        <v>0</v>
      </c>
      <c r="J301" s="21">
        <v>0</v>
      </c>
      <c r="K301" s="40">
        <v>0</v>
      </c>
      <c r="L301" s="21">
        <v>0</v>
      </c>
      <c r="M301" s="21">
        <v>0</v>
      </c>
      <c r="N301" s="21">
        <v>0</v>
      </c>
      <c r="O301" s="21">
        <v>0</v>
      </c>
      <c r="P301" s="21">
        <v>0</v>
      </c>
      <c r="Q301" s="21">
        <v>0</v>
      </c>
      <c r="R301" s="21">
        <v>0</v>
      </c>
      <c r="S301" s="21">
        <v>0</v>
      </c>
      <c r="T301" s="21">
        <v>0</v>
      </c>
      <c r="U301" s="21">
        <v>300000</v>
      </c>
    </row>
    <row r="302" spans="1:21" ht="21.95" customHeight="1">
      <c r="A302" s="19" t="s">
        <v>1784</v>
      </c>
      <c r="B302" s="24" t="s">
        <v>507</v>
      </c>
      <c r="C302" s="1">
        <f t="shared" si="62"/>
        <v>2120932</v>
      </c>
      <c r="D302" s="21">
        <f t="shared" si="63"/>
        <v>0</v>
      </c>
      <c r="E302" s="21">
        <v>0</v>
      </c>
      <c r="F302" s="21">
        <v>0</v>
      </c>
      <c r="G302" s="21">
        <v>0</v>
      </c>
      <c r="H302" s="21">
        <v>0</v>
      </c>
      <c r="I302" s="21">
        <v>0</v>
      </c>
      <c r="J302" s="21">
        <v>0</v>
      </c>
      <c r="K302" s="40">
        <v>0</v>
      </c>
      <c r="L302" s="21">
        <v>0</v>
      </c>
      <c r="M302" s="21">
        <v>362.44</v>
      </c>
      <c r="N302" s="21">
        <f>M302*5300</f>
        <v>1920932</v>
      </c>
      <c r="O302" s="21">
        <v>0</v>
      </c>
      <c r="P302" s="21">
        <v>0</v>
      </c>
      <c r="Q302" s="21">
        <v>0</v>
      </c>
      <c r="R302" s="21">
        <v>0</v>
      </c>
      <c r="S302" s="21">
        <v>0</v>
      </c>
      <c r="T302" s="21">
        <v>0</v>
      </c>
      <c r="U302" s="21">
        <v>200000</v>
      </c>
    </row>
    <row r="303" spans="1:21" ht="21.95" customHeight="1">
      <c r="A303" s="19" t="s">
        <v>1785</v>
      </c>
      <c r="B303" s="24" t="s">
        <v>438</v>
      </c>
      <c r="C303" s="1">
        <f t="shared" si="62"/>
        <v>300000</v>
      </c>
      <c r="D303" s="21">
        <f t="shared" si="63"/>
        <v>0</v>
      </c>
      <c r="E303" s="21">
        <v>0</v>
      </c>
      <c r="F303" s="21">
        <v>0</v>
      </c>
      <c r="G303" s="21">
        <v>0</v>
      </c>
      <c r="H303" s="21">
        <v>0</v>
      </c>
      <c r="I303" s="21">
        <v>0</v>
      </c>
      <c r="J303" s="21">
        <v>0</v>
      </c>
      <c r="K303" s="40">
        <v>0</v>
      </c>
      <c r="L303" s="21">
        <v>0</v>
      </c>
      <c r="M303" s="21">
        <v>0</v>
      </c>
      <c r="N303" s="21">
        <v>0</v>
      </c>
      <c r="O303" s="21">
        <v>0</v>
      </c>
      <c r="P303" s="21">
        <v>0</v>
      </c>
      <c r="Q303" s="21">
        <v>0</v>
      </c>
      <c r="R303" s="21">
        <v>0</v>
      </c>
      <c r="S303" s="21">
        <v>0</v>
      </c>
      <c r="T303" s="21">
        <v>0</v>
      </c>
      <c r="U303" s="21">
        <v>300000</v>
      </c>
    </row>
    <row r="304" spans="1:21" ht="21.95" customHeight="1">
      <c r="A304" s="19" t="s">
        <v>1786</v>
      </c>
      <c r="B304" s="24" t="s">
        <v>454</v>
      </c>
      <c r="C304" s="1">
        <f t="shared" si="62"/>
        <v>300000</v>
      </c>
      <c r="D304" s="21">
        <f t="shared" si="63"/>
        <v>0</v>
      </c>
      <c r="E304" s="21">
        <v>0</v>
      </c>
      <c r="F304" s="21">
        <v>0</v>
      </c>
      <c r="G304" s="21">
        <v>0</v>
      </c>
      <c r="H304" s="21">
        <v>0</v>
      </c>
      <c r="I304" s="21">
        <v>0</v>
      </c>
      <c r="J304" s="21">
        <v>0</v>
      </c>
      <c r="K304" s="40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  <c r="S304" s="21">
        <v>0</v>
      </c>
      <c r="T304" s="21">
        <v>0</v>
      </c>
      <c r="U304" s="21">
        <v>300000</v>
      </c>
    </row>
    <row r="305" spans="1:22" ht="21.95" customHeight="1">
      <c r="A305" s="19" t="s">
        <v>922</v>
      </c>
      <c r="B305" s="24" t="s">
        <v>455</v>
      </c>
      <c r="C305" s="1">
        <f t="shared" si="62"/>
        <v>2583575</v>
      </c>
      <c r="D305" s="21">
        <f t="shared" si="61"/>
        <v>0</v>
      </c>
      <c r="E305" s="21">
        <v>0</v>
      </c>
      <c r="F305" s="21">
        <v>0</v>
      </c>
      <c r="G305" s="21">
        <v>0</v>
      </c>
      <c r="H305" s="21">
        <v>0</v>
      </c>
      <c r="I305" s="21">
        <v>0</v>
      </c>
      <c r="J305" s="21">
        <v>0</v>
      </c>
      <c r="K305" s="40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915</v>
      </c>
      <c r="R305" s="21">
        <v>2383575</v>
      </c>
      <c r="S305" s="21">
        <v>0</v>
      </c>
      <c r="T305" s="21">
        <v>0</v>
      </c>
      <c r="U305" s="21">
        <v>200000</v>
      </c>
    </row>
    <row r="306" spans="1:22" ht="45" customHeight="1">
      <c r="A306" s="55" t="s">
        <v>314</v>
      </c>
      <c r="B306" s="55"/>
      <c r="C306" s="1">
        <f t="shared" si="62"/>
        <v>2176895</v>
      </c>
      <c r="D306" s="1">
        <f t="shared" ref="D306:U306" si="64">SUM(D307:D310)</f>
        <v>2176895</v>
      </c>
      <c r="E306" s="1">
        <f t="shared" si="64"/>
        <v>411845</v>
      </c>
      <c r="F306" s="1">
        <f t="shared" si="64"/>
        <v>941360</v>
      </c>
      <c r="G306" s="1">
        <f t="shared" si="64"/>
        <v>353010</v>
      </c>
      <c r="H306" s="1">
        <f t="shared" si="64"/>
        <v>0</v>
      </c>
      <c r="I306" s="1">
        <f t="shared" si="64"/>
        <v>470680</v>
      </c>
      <c r="J306" s="1">
        <f t="shared" si="64"/>
        <v>0</v>
      </c>
      <c r="K306" s="42">
        <f t="shared" si="64"/>
        <v>0</v>
      </c>
      <c r="L306" s="1">
        <f t="shared" si="64"/>
        <v>0</v>
      </c>
      <c r="M306" s="1">
        <f t="shared" si="64"/>
        <v>0</v>
      </c>
      <c r="N306" s="1">
        <f t="shared" si="64"/>
        <v>0</v>
      </c>
      <c r="O306" s="1">
        <f t="shared" si="64"/>
        <v>0</v>
      </c>
      <c r="P306" s="1">
        <f t="shared" si="64"/>
        <v>0</v>
      </c>
      <c r="Q306" s="1">
        <f t="shared" si="64"/>
        <v>0</v>
      </c>
      <c r="R306" s="1">
        <f t="shared" si="64"/>
        <v>0</v>
      </c>
      <c r="S306" s="1">
        <f t="shared" si="64"/>
        <v>0</v>
      </c>
      <c r="T306" s="1">
        <f t="shared" si="64"/>
        <v>0</v>
      </c>
      <c r="U306" s="1">
        <f t="shared" si="64"/>
        <v>0</v>
      </c>
      <c r="V306" s="13">
        <f>C306+C1069</f>
        <v>10340565.9</v>
      </c>
    </row>
    <row r="307" spans="1:22" ht="21.95" customHeight="1">
      <c r="A307" s="17" t="s">
        <v>923</v>
      </c>
      <c r="B307" s="24" t="s">
        <v>1540</v>
      </c>
      <c r="C307" s="1">
        <f t="shared" si="62"/>
        <v>401635</v>
      </c>
      <c r="D307" s="21">
        <f t="shared" ref="D307:D310" si="65">SUM(E307:J307)</f>
        <v>401635</v>
      </c>
      <c r="E307" s="21">
        <f>350*217.1</f>
        <v>75985</v>
      </c>
      <c r="F307" s="21">
        <f>800*217.1</f>
        <v>173680</v>
      </c>
      <c r="G307" s="21">
        <f>300*217.1</f>
        <v>65130</v>
      </c>
      <c r="H307" s="21">
        <v>0</v>
      </c>
      <c r="I307" s="21">
        <f>400*217.1</f>
        <v>86840</v>
      </c>
      <c r="J307" s="21">
        <f>350*0</f>
        <v>0</v>
      </c>
      <c r="K307" s="40">
        <v>0</v>
      </c>
      <c r="L307" s="21">
        <v>0</v>
      </c>
      <c r="M307" s="3">
        <v>0</v>
      </c>
      <c r="N307" s="3">
        <v>0</v>
      </c>
      <c r="O307" s="21">
        <v>0</v>
      </c>
      <c r="P307" s="21">
        <v>0</v>
      </c>
      <c r="Q307" s="21">
        <v>0</v>
      </c>
      <c r="R307" s="21">
        <v>0</v>
      </c>
      <c r="S307" s="21">
        <v>0</v>
      </c>
      <c r="T307" s="21">
        <v>0</v>
      </c>
      <c r="U307" s="21">
        <v>0</v>
      </c>
    </row>
    <row r="308" spans="1:22" ht="21.95" customHeight="1">
      <c r="A308" s="17" t="s">
        <v>924</v>
      </c>
      <c r="B308" s="24" t="s">
        <v>1539</v>
      </c>
      <c r="C308" s="1">
        <f t="shared" si="62"/>
        <v>586635.00000000012</v>
      </c>
      <c r="D308" s="21">
        <f t="shared" si="65"/>
        <v>586635.00000000012</v>
      </c>
      <c r="E308" s="21">
        <f>350*317.1</f>
        <v>110985.00000000001</v>
      </c>
      <c r="F308" s="21">
        <f>800*317.1</f>
        <v>253680.00000000003</v>
      </c>
      <c r="G308" s="21">
        <f>300*317.1</f>
        <v>95130</v>
      </c>
      <c r="H308" s="21">
        <v>0</v>
      </c>
      <c r="I308" s="21">
        <f>400*317.1</f>
        <v>126840.00000000001</v>
      </c>
      <c r="J308" s="21">
        <f>350*0</f>
        <v>0</v>
      </c>
      <c r="K308" s="40">
        <v>0</v>
      </c>
      <c r="L308" s="21">
        <v>0</v>
      </c>
      <c r="M308" s="3">
        <v>0</v>
      </c>
      <c r="N308" s="3">
        <v>0</v>
      </c>
      <c r="O308" s="21">
        <v>0</v>
      </c>
      <c r="P308" s="21">
        <v>0</v>
      </c>
      <c r="Q308" s="21">
        <v>0</v>
      </c>
      <c r="R308" s="21">
        <v>0</v>
      </c>
      <c r="S308" s="21">
        <v>0</v>
      </c>
      <c r="T308" s="21">
        <v>0</v>
      </c>
      <c r="U308" s="21">
        <v>0</v>
      </c>
    </row>
    <row r="309" spans="1:22" ht="21.95" customHeight="1">
      <c r="A309" s="17" t="s">
        <v>925</v>
      </c>
      <c r="B309" s="24" t="s">
        <v>1538</v>
      </c>
      <c r="C309" s="1">
        <f t="shared" si="62"/>
        <v>460465</v>
      </c>
      <c r="D309" s="21">
        <f t="shared" si="65"/>
        <v>460465</v>
      </c>
      <c r="E309" s="21">
        <f>350*248.9</f>
        <v>87115</v>
      </c>
      <c r="F309" s="21">
        <f>800*248.9</f>
        <v>199120</v>
      </c>
      <c r="G309" s="21">
        <f>300*248.9</f>
        <v>74670</v>
      </c>
      <c r="H309" s="21">
        <v>0</v>
      </c>
      <c r="I309" s="21">
        <f>400*248.9</f>
        <v>99560</v>
      </c>
      <c r="J309" s="21">
        <f>350*0</f>
        <v>0</v>
      </c>
      <c r="K309" s="40">
        <v>0</v>
      </c>
      <c r="L309" s="21">
        <v>0</v>
      </c>
      <c r="M309" s="3">
        <v>0</v>
      </c>
      <c r="N309" s="3">
        <v>0</v>
      </c>
      <c r="O309" s="21">
        <v>0</v>
      </c>
      <c r="P309" s="21">
        <v>0</v>
      </c>
      <c r="Q309" s="21">
        <v>0</v>
      </c>
      <c r="R309" s="21">
        <v>0</v>
      </c>
      <c r="S309" s="21">
        <v>0</v>
      </c>
      <c r="T309" s="21">
        <v>0</v>
      </c>
      <c r="U309" s="21">
        <v>0</v>
      </c>
    </row>
    <row r="310" spans="1:22" ht="21.95" customHeight="1">
      <c r="A310" s="17" t="s">
        <v>926</v>
      </c>
      <c r="B310" s="24" t="s">
        <v>1537</v>
      </c>
      <c r="C310" s="1">
        <f t="shared" si="62"/>
        <v>728160</v>
      </c>
      <c r="D310" s="21">
        <f t="shared" si="65"/>
        <v>728160</v>
      </c>
      <c r="E310" s="21">
        <f>350*393.6</f>
        <v>137760</v>
      </c>
      <c r="F310" s="21">
        <f>800*393.6</f>
        <v>314880</v>
      </c>
      <c r="G310" s="21">
        <f>300*393.6</f>
        <v>118080</v>
      </c>
      <c r="H310" s="21">
        <v>0</v>
      </c>
      <c r="I310" s="21">
        <f>400*393.6</f>
        <v>157440</v>
      </c>
      <c r="J310" s="21">
        <f>350*0</f>
        <v>0</v>
      </c>
      <c r="K310" s="40">
        <v>0</v>
      </c>
      <c r="L310" s="21">
        <v>0</v>
      </c>
      <c r="M310" s="3">
        <v>0</v>
      </c>
      <c r="N310" s="3">
        <v>0</v>
      </c>
      <c r="O310" s="21">
        <v>0</v>
      </c>
      <c r="P310" s="21">
        <v>0</v>
      </c>
      <c r="Q310" s="21">
        <v>0</v>
      </c>
      <c r="R310" s="21">
        <v>0</v>
      </c>
      <c r="S310" s="21">
        <v>0</v>
      </c>
      <c r="T310" s="21">
        <v>0</v>
      </c>
      <c r="U310" s="21">
        <v>0</v>
      </c>
    </row>
    <row r="311" spans="1:22" ht="45" customHeight="1">
      <c r="A311" s="55" t="s">
        <v>289</v>
      </c>
      <c r="B311" s="55"/>
      <c r="C311" s="1">
        <f t="shared" si="62"/>
        <v>300000</v>
      </c>
      <c r="D311" s="1">
        <f t="shared" ref="D311:U311" si="66">SUM(D312)</f>
        <v>0</v>
      </c>
      <c r="E311" s="1">
        <f t="shared" si="66"/>
        <v>0</v>
      </c>
      <c r="F311" s="1">
        <f t="shared" si="66"/>
        <v>0</v>
      </c>
      <c r="G311" s="1">
        <f t="shared" si="66"/>
        <v>0</v>
      </c>
      <c r="H311" s="1">
        <f t="shared" si="66"/>
        <v>0</v>
      </c>
      <c r="I311" s="1">
        <f t="shared" si="66"/>
        <v>0</v>
      </c>
      <c r="J311" s="1">
        <f t="shared" si="66"/>
        <v>0</v>
      </c>
      <c r="K311" s="42">
        <f t="shared" si="66"/>
        <v>0</v>
      </c>
      <c r="L311" s="1">
        <f t="shared" si="66"/>
        <v>0</v>
      </c>
      <c r="M311" s="1">
        <f t="shared" si="66"/>
        <v>0</v>
      </c>
      <c r="N311" s="1">
        <f t="shared" si="66"/>
        <v>0</v>
      </c>
      <c r="O311" s="1">
        <f t="shared" si="66"/>
        <v>0</v>
      </c>
      <c r="P311" s="1">
        <f t="shared" si="66"/>
        <v>0</v>
      </c>
      <c r="Q311" s="1">
        <f t="shared" si="66"/>
        <v>0</v>
      </c>
      <c r="R311" s="1">
        <f t="shared" si="66"/>
        <v>0</v>
      </c>
      <c r="S311" s="1">
        <f t="shared" si="66"/>
        <v>0</v>
      </c>
      <c r="T311" s="1">
        <f t="shared" si="66"/>
        <v>0</v>
      </c>
      <c r="U311" s="1">
        <f t="shared" si="66"/>
        <v>300000</v>
      </c>
      <c r="V311" s="13">
        <f>C311+C722+C1071</f>
        <v>16367676.5</v>
      </c>
    </row>
    <row r="312" spans="1:22" ht="21.95" customHeight="1">
      <c r="A312" s="19" t="s">
        <v>927</v>
      </c>
      <c r="B312" s="24" t="s">
        <v>316</v>
      </c>
      <c r="C312" s="1">
        <f t="shared" si="62"/>
        <v>300000</v>
      </c>
      <c r="D312" s="21">
        <f t="shared" ref="D312" si="67">SUM(E312:J312)</f>
        <v>0</v>
      </c>
      <c r="E312" s="21"/>
      <c r="F312" s="21"/>
      <c r="G312" s="21"/>
      <c r="H312" s="21"/>
      <c r="I312" s="21"/>
      <c r="J312" s="21"/>
      <c r="K312" s="40">
        <v>0</v>
      </c>
      <c r="L312" s="21">
        <v>0</v>
      </c>
      <c r="M312" s="21">
        <v>0</v>
      </c>
      <c r="N312" s="21">
        <v>0</v>
      </c>
      <c r="O312" s="21">
        <v>0</v>
      </c>
      <c r="P312" s="21">
        <v>0</v>
      </c>
      <c r="Q312" s="21">
        <v>0</v>
      </c>
      <c r="R312" s="21">
        <v>0</v>
      </c>
      <c r="S312" s="21">
        <v>0</v>
      </c>
      <c r="T312" s="21">
        <v>0</v>
      </c>
      <c r="U312" s="21">
        <v>300000</v>
      </c>
    </row>
    <row r="313" spans="1:22" ht="45" customHeight="1">
      <c r="A313" s="55" t="s">
        <v>295</v>
      </c>
      <c r="B313" s="55"/>
      <c r="C313" s="1">
        <f t="shared" si="62"/>
        <v>9086800</v>
      </c>
      <c r="D313" s="1">
        <f t="shared" ref="D313:U313" si="68">SUM(D314:D315)</f>
        <v>1731300</v>
      </c>
      <c r="E313" s="1">
        <f t="shared" si="68"/>
        <v>403970</v>
      </c>
      <c r="F313" s="1">
        <f t="shared" si="68"/>
        <v>923360</v>
      </c>
      <c r="G313" s="1">
        <f t="shared" si="68"/>
        <v>173130</v>
      </c>
      <c r="H313" s="1">
        <f t="shared" si="68"/>
        <v>0</v>
      </c>
      <c r="I313" s="1">
        <f t="shared" si="68"/>
        <v>230840</v>
      </c>
      <c r="J313" s="1">
        <f t="shared" si="68"/>
        <v>0</v>
      </c>
      <c r="K313" s="42">
        <f t="shared" si="68"/>
        <v>0</v>
      </c>
      <c r="L313" s="1">
        <f t="shared" si="68"/>
        <v>0</v>
      </c>
      <c r="M313" s="1">
        <f t="shared" si="68"/>
        <v>870</v>
      </c>
      <c r="N313" s="1">
        <f t="shared" si="68"/>
        <v>4611000</v>
      </c>
      <c r="O313" s="1">
        <f t="shared" si="68"/>
        <v>0</v>
      </c>
      <c r="P313" s="1">
        <f t="shared" si="68"/>
        <v>0</v>
      </c>
      <c r="Q313" s="1">
        <f t="shared" si="68"/>
        <v>900</v>
      </c>
      <c r="R313" s="1">
        <f t="shared" si="68"/>
        <v>2344500</v>
      </c>
      <c r="S313" s="1">
        <f t="shared" si="68"/>
        <v>0</v>
      </c>
      <c r="T313" s="1">
        <f t="shared" si="68"/>
        <v>0</v>
      </c>
      <c r="U313" s="1">
        <f t="shared" si="68"/>
        <v>400000</v>
      </c>
      <c r="V313" s="13">
        <f>C313+C728+C1078</f>
        <v>23351610</v>
      </c>
    </row>
    <row r="314" spans="1:22" ht="21.95" customHeight="1">
      <c r="A314" s="19" t="s">
        <v>1352</v>
      </c>
      <c r="B314" s="24" t="s">
        <v>296</v>
      </c>
      <c r="C314" s="1">
        <f t="shared" si="62"/>
        <v>4745385</v>
      </c>
      <c r="D314" s="21">
        <f t="shared" ref="D314:D315" si="69">SUM(E314:J314)</f>
        <v>1067635</v>
      </c>
      <c r="E314" s="21">
        <f>350*577.1</f>
        <v>201985</v>
      </c>
      <c r="F314" s="21">
        <f>800*577.1</f>
        <v>461680</v>
      </c>
      <c r="G314" s="21">
        <f>300*577.1</f>
        <v>173130</v>
      </c>
      <c r="H314" s="21">
        <f>350*0</f>
        <v>0</v>
      </c>
      <c r="I314" s="21">
        <f>400*577.1</f>
        <v>230840</v>
      </c>
      <c r="J314" s="21">
        <f>350*0</f>
        <v>0</v>
      </c>
      <c r="K314" s="40">
        <v>0</v>
      </c>
      <c r="L314" s="21">
        <v>0</v>
      </c>
      <c r="M314" s="21">
        <v>435</v>
      </c>
      <c r="N314" s="21">
        <f>M314*5300</f>
        <v>2305500</v>
      </c>
      <c r="O314" s="21">
        <v>0</v>
      </c>
      <c r="P314" s="21">
        <v>0</v>
      </c>
      <c r="Q314" s="21">
        <v>450</v>
      </c>
      <c r="R314" s="21">
        <f>Q314*2605</f>
        <v>1172250</v>
      </c>
      <c r="S314" s="21">
        <v>0</v>
      </c>
      <c r="T314" s="21">
        <v>0</v>
      </c>
      <c r="U314" s="21">
        <v>200000</v>
      </c>
    </row>
    <row r="315" spans="1:22" ht="21.95" customHeight="1">
      <c r="A315" s="19" t="s">
        <v>1353</v>
      </c>
      <c r="B315" s="24" t="s">
        <v>297</v>
      </c>
      <c r="C315" s="1">
        <f t="shared" si="62"/>
        <v>4341415</v>
      </c>
      <c r="D315" s="21">
        <f t="shared" si="69"/>
        <v>663665</v>
      </c>
      <c r="E315" s="21">
        <f>350*577.1</f>
        <v>201985</v>
      </c>
      <c r="F315" s="21">
        <f>800*577.1</f>
        <v>461680</v>
      </c>
      <c r="G315" s="21">
        <f>300*0</f>
        <v>0</v>
      </c>
      <c r="H315" s="21">
        <f>350*0</f>
        <v>0</v>
      </c>
      <c r="I315" s="21">
        <f>400*0</f>
        <v>0</v>
      </c>
      <c r="J315" s="21">
        <f>350*0</f>
        <v>0</v>
      </c>
      <c r="K315" s="40">
        <v>0</v>
      </c>
      <c r="L315" s="21">
        <v>0</v>
      </c>
      <c r="M315" s="21">
        <v>435</v>
      </c>
      <c r="N315" s="21">
        <f>M315*5300</f>
        <v>2305500</v>
      </c>
      <c r="O315" s="21">
        <v>0</v>
      </c>
      <c r="P315" s="21">
        <v>0</v>
      </c>
      <c r="Q315" s="21">
        <v>450</v>
      </c>
      <c r="R315" s="21">
        <f>Q315*2605</f>
        <v>1172250</v>
      </c>
      <c r="S315" s="21">
        <v>0</v>
      </c>
      <c r="T315" s="21">
        <v>0</v>
      </c>
      <c r="U315" s="21">
        <v>200000</v>
      </c>
    </row>
    <row r="316" spans="1:22" ht="45" customHeight="1">
      <c r="A316" s="55" t="s">
        <v>300</v>
      </c>
      <c r="B316" s="55"/>
      <c r="C316" s="1">
        <f t="shared" si="62"/>
        <v>900000</v>
      </c>
      <c r="D316" s="1">
        <f t="shared" ref="D316:U316" si="70">SUM(D317:D319)</f>
        <v>0</v>
      </c>
      <c r="E316" s="1">
        <f t="shared" si="70"/>
        <v>0</v>
      </c>
      <c r="F316" s="1">
        <f t="shared" si="70"/>
        <v>0</v>
      </c>
      <c r="G316" s="1">
        <f t="shared" si="70"/>
        <v>0</v>
      </c>
      <c r="H316" s="1">
        <f t="shared" si="70"/>
        <v>0</v>
      </c>
      <c r="I316" s="1">
        <f t="shared" si="70"/>
        <v>0</v>
      </c>
      <c r="J316" s="1">
        <f t="shared" si="70"/>
        <v>0</v>
      </c>
      <c r="K316" s="42">
        <f t="shared" si="70"/>
        <v>0</v>
      </c>
      <c r="L316" s="1">
        <f t="shared" si="70"/>
        <v>0</v>
      </c>
      <c r="M316" s="1">
        <f t="shared" si="70"/>
        <v>0</v>
      </c>
      <c r="N316" s="1">
        <f t="shared" si="70"/>
        <v>0</v>
      </c>
      <c r="O316" s="1">
        <f t="shared" si="70"/>
        <v>0</v>
      </c>
      <c r="P316" s="1">
        <f t="shared" si="70"/>
        <v>0</v>
      </c>
      <c r="Q316" s="1">
        <f t="shared" si="70"/>
        <v>0</v>
      </c>
      <c r="R316" s="1">
        <f t="shared" si="70"/>
        <v>0</v>
      </c>
      <c r="S316" s="1">
        <f t="shared" si="70"/>
        <v>0</v>
      </c>
      <c r="T316" s="1">
        <f t="shared" si="70"/>
        <v>0</v>
      </c>
      <c r="U316" s="1">
        <f t="shared" si="70"/>
        <v>900000</v>
      </c>
      <c r="V316" s="13">
        <f>C316+C731+C1082</f>
        <v>45897132.5</v>
      </c>
    </row>
    <row r="317" spans="1:22" ht="21.95" customHeight="1">
      <c r="A317" s="19" t="s">
        <v>928</v>
      </c>
      <c r="B317" s="24" t="s">
        <v>305</v>
      </c>
      <c r="C317" s="1">
        <f t="shared" si="62"/>
        <v>300000</v>
      </c>
      <c r="D317" s="21">
        <f t="shared" ref="D317:D319" si="71">SUM(E317:J317)</f>
        <v>0</v>
      </c>
      <c r="E317" s="21">
        <v>0</v>
      </c>
      <c r="F317" s="21">
        <v>0</v>
      </c>
      <c r="G317" s="21">
        <v>0</v>
      </c>
      <c r="H317" s="21">
        <v>0</v>
      </c>
      <c r="I317" s="21">
        <v>0</v>
      </c>
      <c r="J317" s="21">
        <v>0</v>
      </c>
      <c r="K317" s="40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  <c r="S317" s="21">
        <v>0</v>
      </c>
      <c r="T317" s="21">
        <v>0</v>
      </c>
      <c r="U317" s="21">
        <v>300000</v>
      </c>
    </row>
    <row r="318" spans="1:22" ht="21.95" customHeight="1">
      <c r="A318" s="19" t="s">
        <v>929</v>
      </c>
      <c r="B318" s="24" t="s">
        <v>306</v>
      </c>
      <c r="C318" s="1">
        <f t="shared" si="62"/>
        <v>300000</v>
      </c>
      <c r="D318" s="21">
        <f t="shared" si="71"/>
        <v>0</v>
      </c>
      <c r="E318" s="21">
        <v>0</v>
      </c>
      <c r="F318" s="21">
        <v>0</v>
      </c>
      <c r="G318" s="21">
        <v>0</v>
      </c>
      <c r="H318" s="21">
        <v>0</v>
      </c>
      <c r="I318" s="21">
        <v>0</v>
      </c>
      <c r="J318" s="21">
        <v>0</v>
      </c>
      <c r="K318" s="40">
        <v>0</v>
      </c>
      <c r="L318" s="21">
        <v>0</v>
      </c>
      <c r="M318" s="21">
        <v>0</v>
      </c>
      <c r="N318" s="21">
        <v>0</v>
      </c>
      <c r="O318" s="21">
        <v>0</v>
      </c>
      <c r="P318" s="21">
        <v>0</v>
      </c>
      <c r="Q318" s="21">
        <v>0</v>
      </c>
      <c r="R318" s="21">
        <v>0</v>
      </c>
      <c r="S318" s="21">
        <v>0</v>
      </c>
      <c r="T318" s="21">
        <v>0</v>
      </c>
      <c r="U318" s="21">
        <v>300000</v>
      </c>
    </row>
    <row r="319" spans="1:22" ht="21.95" customHeight="1">
      <c r="A319" s="19" t="s">
        <v>930</v>
      </c>
      <c r="B319" s="24" t="s">
        <v>308</v>
      </c>
      <c r="C319" s="1">
        <f t="shared" si="62"/>
        <v>300000</v>
      </c>
      <c r="D319" s="21">
        <f t="shared" si="71"/>
        <v>0</v>
      </c>
      <c r="E319" s="21">
        <v>0</v>
      </c>
      <c r="F319" s="21">
        <v>0</v>
      </c>
      <c r="G319" s="21">
        <v>0</v>
      </c>
      <c r="H319" s="21">
        <v>0</v>
      </c>
      <c r="I319" s="21">
        <v>0</v>
      </c>
      <c r="J319" s="21">
        <v>0</v>
      </c>
      <c r="K319" s="40">
        <v>0</v>
      </c>
      <c r="L319" s="21">
        <v>0</v>
      </c>
      <c r="M319" s="21">
        <v>0</v>
      </c>
      <c r="N319" s="21">
        <v>0</v>
      </c>
      <c r="O319" s="21">
        <v>0</v>
      </c>
      <c r="P319" s="21">
        <v>0</v>
      </c>
      <c r="Q319" s="21">
        <v>0</v>
      </c>
      <c r="R319" s="21">
        <v>0</v>
      </c>
      <c r="S319" s="21">
        <v>0</v>
      </c>
      <c r="T319" s="21">
        <v>0</v>
      </c>
      <c r="U319" s="21">
        <v>300000</v>
      </c>
    </row>
    <row r="320" spans="1:22" ht="45" customHeight="1">
      <c r="A320" s="55" t="s">
        <v>318</v>
      </c>
      <c r="B320" s="55"/>
      <c r="C320" s="1">
        <f t="shared" si="62"/>
        <v>11553370</v>
      </c>
      <c r="D320" s="1">
        <f t="shared" ref="D320:U320" si="72">SUM(D321:D323)</f>
        <v>1131760</v>
      </c>
      <c r="E320" s="1">
        <f t="shared" si="72"/>
        <v>168560</v>
      </c>
      <c r="F320" s="1">
        <f t="shared" si="72"/>
        <v>385280</v>
      </c>
      <c r="G320" s="1">
        <f t="shared" si="72"/>
        <v>144480</v>
      </c>
      <c r="H320" s="1">
        <f t="shared" si="72"/>
        <v>240800</v>
      </c>
      <c r="I320" s="1">
        <f t="shared" si="72"/>
        <v>192640</v>
      </c>
      <c r="J320" s="1">
        <f t="shared" si="72"/>
        <v>0</v>
      </c>
      <c r="K320" s="42">
        <f t="shared" si="72"/>
        <v>0</v>
      </c>
      <c r="L320" s="1">
        <f t="shared" si="72"/>
        <v>0</v>
      </c>
      <c r="M320" s="1">
        <f t="shared" si="72"/>
        <v>1100</v>
      </c>
      <c r="N320" s="1">
        <f t="shared" si="72"/>
        <v>5830000</v>
      </c>
      <c r="O320" s="1">
        <f t="shared" si="72"/>
        <v>0</v>
      </c>
      <c r="P320" s="1">
        <f t="shared" si="72"/>
        <v>0</v>
      </c>
      <c r="Q320" s="1">
        <f t="shared" si="72"/>
        <v>1400</v>
      </c>
      <c r="R320" s="1">
        <f t="shared" si="72"/>
        <v>3647000</v>
      </c>
      <c r="S320" s="1">
        <f t="shared" si="72"/>
        <v>344610</v>
      </c>
      <c r="T320" s="1">
        <f t="shared" si="72"/>
        <v>0</v>
      </c>
      <c r="U320" s="1">
        <f t="shared" si="72"/>
        <v>600000</v>
      </c>
      <c r="V320" s="13">
        <f>C320+C741</f>
        <v>15086036</v>
      </c>
    </row>
    <row r="321" spans="1:22" ht="21.95" customHeight="1">
      <c r="A321" s="19" t="s">
        <v>931</v>
      </c>
      <c r="B321" s="24" t="s">
        <v>319</v>
      </c>
      <c r="C321" s="1">
        <f t="shared" si="62"/>
        <v>3256320</v>
      </c>
      <c r="D321" s="21">
        <f t="shared" ref="D321:D323" si="73">SUM(E321:J321)</f>
        <v>0</v>
      </c>
      <c r="E321" s="21">
        <v>0</v>
      </c>
      <c r="F321" s="21">
        <v>0</v>
      </c>
      <c r="G321" s="21">
        <v>0</v>
      </c>
      <c r="H321" s="21">
        <v>0</v>
      </c>
      <c r="I321" s="21">
        <v>0</v>
      </c>
      <c r="J321" s="21">
        <v>0</v>
      </c>
      <c r="K321" s="40">
        <v>0</v>
      </c>
      <c r="L321" s="21">
        <v>0</v>
      </c>
      <c r="M321" s="21">
        <v>335</v>
      </c>
      <c r="N321" s="21">
        <f>M321*5300</f>
        <v>1775500</v>
      </c>
      <c r="O321" s="21">
        <v>0</v>
      </c>
      <c r="P321" s="21">
        <v>0</v>
      </c>
      <c r="Q321" s="21">
        <v>450</v>
      </c>
      <c r="R321" s="21">
        <f>Q321*2605</f>
        <v>1172250</v>
      </c>
      <c r="S321" s="21">
        <v>108570</v>
      </c>
      <c r="T321" s="21">
        <v>0</v>
      </c>
      <c r="U321" s="21">
        <v>200000</v>
      </c>
    </row>
    <row r="322" spans="1:22" ht="21.95" customHeight="1">
      <c r="A322" s="19" t="s">
        <v>932</v>
      </c>
      <c r="B322" s="24" t="s">
        <v>320</v>
      </c>
      <c r="C322" s="1">
        <f t="shared" si="62"/>
        <v>3257580</v>
      </c>
      <c r="D322" s="21">
        <f t="shared" si="73"/>
        <v>0</v>
      </c>
      <c r="E322" s="21">
        <v>0</v>
      </c>
      <c r="F322" s="21">
        <v>0</v>
      </c>
      <c r="G322" s="21">
        <v>0</v>
      </c>
      <c r="H322" s="21">
        <v>0</v>
      </c>
      <c r="I322" s="21">
        <v>0</v>
      </c>
      <c r="J322" s="21">
        <v>0</v>
      </c>
      <c r="K322" s="40">
        <v>0</v>
      </c>
      <c r="L322" s="21">
        <v>0</v>
      </c>
      <c r="M322" s="21">
        <v>335</v>
      </c>
      <c r="N322" s="21">
        <f>M322*5300</f>
        <v>1775500</v>
      </c>
      <c r="O322" s="21">
        <v>0</v>
      </c>
      <c r="P322" s="21">
        <v>0</v>
      </c>
      <c r="Q322" s="21">
        <v>450</v>
      </c>
      <c r="R322" s="21">
        <f>Q322*2605</f>
        <v>1172250</v>
      </c>
      <c r="S322" s="21">
        <v>109830</v>
      </c>
      <c r="T322" s="21">
        <v>0</v>
      </c>
      <c r="U322" s="21">
        <v>200000</v>
      </c>
    </row>
    <row r="323" spans="1:22" ht="21.95" customHeight="1">
      <c r="A323" s="19" t="s">
        <v>933</v>
      </c>
      <c r="B323" s="24" t="s">
        <v>321</v>
      </c>
      <c r="C323" s="1">
        <f t="shared" si="62"/>
        <v>5039470</v>
      </c>
      <c r="D323" s="21">
        <f t="shared" si="73"/>
        <v>1131760</v>
      </c>
      <c r="E323" s="21">
        <f>350*481.6</f>
        <v>168560</v>
      </c>
      <c r="F323" s="21">
        <f>800*481.6</f>
        <v>385280</v>
      </c>
      <c r="G323" s="21">
        <f>300*481.6</f>
        <v>144480</v>
      </c>
      <c r="H323" s="21">
        <f>500*481.6</f>
        <v>240800</v>
      </c>
      <c r="I323" s="21">
        <f>400*481.6</f>
        <v>192640</v>
      </c>
      <c r="J323" s="21">
        <f>350*0</f>
        <v>0</v>
      </c>
      <c r="K323" s="40">
        <v>0</v>
      </c>
      <c r="L323" s="21">
        <v>0</v>
      </c>
      <c r="M323" s="21">
        <v>430</v>
      </c>
      <c r="N323" s="21">
        <f>M323*5300</f>
        <v>2279000</v>
      </c>
      <c r="O323" s="21">
        <v>0</v>
      </c>
      <c r="P323" s="21">
        <v>0</v>
      </c>
      <c r="Q323" s="21">
        <v>500</v>
      </c>
      <c r="R323" s="21">
        <f>Q323*2605</f>
        <v>1302500</v>
      </c>
      <c r="S323" s="21">
        <v>126210</v>
      </c>
      <c r="T323" s="21">
        <v>0</v>
      </c>
      <c r="U323" s="21">
        <v>200000</v>
      </c>
    </row>
    <row r="324" spans="1:22" ht="45" customHeight="1">
      <c r="A324" s="55" t="s">
        <v>323</v>
      </c>
      <c r="B324" s="55"/>
      <c r="C324" s="1">
        <f t="shared" si="62"/>
        <v>300000</v>
      </c>
      <c r="D324" s="1">
        <f t="shared" ref="D324:U324" si="74">SUM(D325)</f>
        <v>0</v>
      </c>
      <c r="E324" s="1">
        <f t="shared" si="74"/>
        <v>0</v>
      </c>
      <c r="F324" s="1">
        <f t="shared" si="74"/>
        <v>0</v>
      </c>
      <c r="G324" s="1">
        <f t="shared" si="74"/>
        <v>0</v>
      </c>
      <c r="H324" s="1">
        <f t="shared" si="74"/>
        <v>0</v>
      </c>
      <c r="I324" s="1">
        <f t="shared" si="74"/>
        <v>0</v>
      </c>
      <c r="J324" s="1">
        <f t="shared" si="74"/>
        <v>0</v>
      </c>
      <c r="K324" s="42">
        <f t="shared" si="74"/>
        <v>0</v>
      </c>
      <c r="L324" s="1">
        <f t="shared" si="74"/>
        <v>0</v>
      </c>
      <c r="M324" s="1">
        <f t="shared" si="74"/>
        <v>0</v>
      </c>
      <c r="N324" s="1">
        <f t="shared" si="74"/>
        <v>0</v>
      </c>
      <c r="O324" s="1">
        <f t="shared" si="74"/>
        <v>0</v>
      </c>
      <c r="P324" s="1">
        <f t="shared" si="74"/>
        <v>0</v>
      </c>
      <c r="Q324" s="1">
        <f t="shared" si="74"/>
        <v>0</v>
      </c>
      <c r="R324" s="1">
        <f t="shared" si="74"/>
        <v>0</v>
      </c>
      <c r="S324" s="1">
        <f t="shared" si="74"/>
        <v>0</v>
      </c>
      <c r="T324" s="1">
        <f t="shared" si="74"/>
        <v>0</v>
      </c>
      <c r="U324" s="1">
        <f t="shared" si="74"/>
        <v>300000</v>
      </c>
      <c r="V324" s="13">
        <f>C324+C743+C1086</f>
        <v>16250940</v>
      </c>
    </row>
    <row r="325" spans="1:22" ht="21.95" customHeight="1">
      <c r="A325" s="17" t="s">
        <v>934</v>
      </c>
      <c r="B325" s="24" t="s">
        <v>327</v>
      </c>
      <c r="C325" s="1">
        <f t="shared" si="62"/>
        <v>300000</v>
      </c>
      <c r="D325" s="21">
        <f t="shared" ref="D325" si="75">SUM(E325:J325)</f>
        <v>0</v>
      </c>
      <c r="E325" s="21">
        <v>0</v>
      </c>
      <c r="F325" s="21">
        <v>0</v>
      </c>
      <c r="G325" s="21">
        <v>0</v>
      </c>
      <c r="H325" s="21">
        <v>0</v>
      </c>
      <c r="I325" s="21">
        <v>0</v>
      </c>
      <c r="J325" s="21">
        <v>0</v>
      </c>
      <c r="K325" s="40">
        <v>0</v>
      </c>
      <c r="L325" s="21">
        <v>0</v>
      </c>
      <c r="M325" s="3">
        <v>0</v>
      </c>
      <c r="N325" s="3">
        <v>0</v>
      </c>
      <c r="O325" s="21">
        <v>0</v>
      </c>
      <c r="P325" s="21">
        <v>0</v>
      </c>
      <c r="Q325" s="21">
        <v>0</v>
      </c>
      <c r="R325" s="21">
        <v>0</v>
      </c>
      <c r="S325" s="21">
        <v>0</v>
      </c>
      <c r="T325" s="21">
        <v>0</v>
      </c>
      <c r="U325" s="21">
        <v>300000</v>
      </c>
    </row>
    <row r="326" spans="1:22" ht="40.15" customHeight="1">
      <c r="A326" s="55" t="s">
        <v>1326</v>
      </c>
      <c r="B326" s="55"/>
      <c r="C326" s="1">
        <f t="shared" si="62"/>
        <v>3804772</v>
      </c>
      <c r="D326" s="1">
        <f t="shared" ref="D326:U326" si="76">SUM(D327)</f>
        <v>127022</v>
      </c>
      <c r="E326" s="1">
        <f t="shared" si="76"/>
        <v>127022</v>
      </c>
      <c r="F326" s="1">
        <f t="shared" si="76"/>
        <v>0</v>
      </c>
      <c r="G326" s="1">
        <f t="shared" si="76"/>
        <v>0</v>
      </c>
      <c r="H326" s="1">
        <f t="shared" si="76"/>
        <v>0</v>
      </c>
      <c r="I326" s="1">
        <f t="shared" si="76"/>
        <v>0</v>
      </c>
      <c r="J326" s="1">
        <f t="shared" si="76"/>
        <v>0</v>
      </c>
      <c r="K326" s="42">
        <f t="shared" si="76"/>
        <v>0</v>
      </c>
      <c r="L326" s="1">
        <f t="shared" si="76"/>
        <v>0</v>
      </c>
      <c r="M326" s="1">
        <f t="shared" si="76"/>
        <v>435</v>
      </c>
      <c r="N326" s="1">
        <f t="shared" si="76"/>
        <v>2305500</v>
      </c>
      <c r="O326" s="1">
        <f t="shared" si="76"/>
        <v>0</v>
      </c>
      <c r="P326" s="1">
        <f t="shared" si="76"/>
        <v>0</v>
      </c>
      <c r="Q326" s="1">
        <f t="shared" si="76"/>
        <v>450</v>
      </c>
      <c r="R326" s="1">
        <f t="shared" si="76"/>
        <v>1172250</v>
      </c>
      <c r="S326" s="1">
        <f t="shared" si="76"/>
        <v>0</v>
      </c>
      <c r="T326" s="1">
        <f t="shared" si="76"/>
        <v>0</v>
      </c>
      <c r="U326" s="1">
        <f t="shared" si="76"/>
        <v>200000</v>
      </c>
      <c r="V326" s="13">
        <f>C326+C747+C1093</f>
        <v>8521770</v>
      </c>
    </row>
    <row r="327" spans="1:22" ht="21.95" customHeight="1">
      <c r="A327" s="19" t="s">
        <v>935</v>
      </c>
      <c r="B327" s="24" t="s">
        <v>334</v>
      </c>
      <c r="C327" s="1">
        <f t="shared" si="62"/>
        <v>3804772</v>
      </c>
      <c r="D327" s="21">
        <f t="shared" ref="D327" si="77">SUM(E327:J327)</f>
        <v>127022</v>
      </c>
      <c r="E327" s="21">
        <f>350*362.92</f>
        <v>127022</v>
      </c>
      <c r="F327" s="21">
        <v>0</v>
      </c>
      <c r="G327" s="21">
        <v>0</v>
      </c>
      <c r="H327" s="21">
        <v>0</v>
      </c>
      <c r="I327" s="21">
        <v>0</v>
      </c>
      <c r="J327" s="21">
        <v>0</v>
      </c>
      <c r="K327" s="40">
        <v>0</v>
      </c>
      <c r="L327" s="21">
        <v>0</v>
      </c>
      <c r="M327" s="21">
        <v>435</v>
      </c>
      <c r="N327" s="21">
        <f>M327*5300</f>
        <v>2305500</v>
      </c>
      <c r="O327" s="21">
        <v>0</v>
      </c>
      <c r="P327" s="21">
        <v>0</v>
      </c>
      <c r="Q327" s="21">
        <v>450</v>
      </c>
      <c r="R327" s="21">
        <f>Q327*2605</f>
        <v>1172250</v>
      </c>
      <c r="S327" s="21">
        <v>0</v>
      </c>
      <c r="T327" s="21">
        <v>0</v>
      </c>
      <c r="U327" s="21">
        <v>200000</v>
      </c>
    </row>
    <row r="328" spans="1:22" ht="42.95" customHeight="1">
      <c r="A328" s="55" t="s">
        <v>335</v>
      </c>
      <c r="B328" s="55"/>
      <c r="C328" s="1">
        <f t="shared" si="62"/>
        <v>2480000</v>
      </c>
      <c r="D328" s="1">
        <f t="shared" ref="D328:U328" si="78">SUM(D329:D330)</f>
        <v>0</v>
      </c>
      <c r="E328" s="1">
        <f t="shared" si="78"/>
        <v>0</v>
      </c>
      <c r="F328" s="1">
        <f t="shared" si="78"/>
        <v>0</v>
      </c>
      <c r="G328" s="1">
        <f t="shared" si="78"/>
        <v>0</v>
      </c>
      <c r="H328" s="1">
        <f t="shared" si="78"/>
        <v>0</v>
      </c>
      <c r="I328" s="1">
        <f t="shared" si="78"/>
        <v>0</v>
      </c>
      <c r="J328" s="1">
        <f t="shared" si="78"/>
        <v>0</v>
      </c>
      <c r="K328" s="42">
        <f t="shared" si="78"/>
        <v>0</v>
      </c>
      <c r="L328" s="1">
        <f t="shared" si="78"/>
        <v>0</v>
      </c>
      <c r="M328" s="1">
        <f t="shared" si="78"/>
        <v>600</v>
      </c>
      <c r="N328" s="1">
        <f t="shared" si="78"/>
        <v>1980000</v>
      </c>
      <c r="O328" s="1">
        <f t="shared" si="78"/>
        <v>0</v>
      </c>
      <c r="P328" s="1">
        <f t="shared" si="78"/>
        <v>0</v>
      </c>
      <c r="Q328" s="1">
        <f t="shared" si="78"/>
        <v>0</v>
      </c>
      <c r="R328" s="1">
        <f t="shared" si="78"/>
        <v>0</v>
      </c>
      <c r="S328" s="1">
        <f t="shared" si="78"/>
        <v>0</v>
      </c>
      <c r="T328" s="1">
        <f t="shared" si="78"/>
        <v>0</v>
      </c>
      <c r="U328" s="1">
        <f t="shared" si="78"/>
        <v>500000</v>
      </c>
      <c r="V328" s="13">
        <f>C328+C749+C1095</f>
        <v>21937816</v>
      </c>
    </row>
    <row r="329" spans="1:22" ht="23.1" customHeight="1">
      <c r="A329" s="17" t="s">
        <v>936</v>
      </c>
      <c r="B329" s="24" t="s">
        <v>1329</v>
      </c>
      <c r="C329" s="1">
        <f t="shared" si="62"/>
        <v>2180000</v>
      </c>
      <c r="D329" s="21">
        <f t="shared" ref="D329:D330" si="79">SUM(E329:J329)</f>
        <v>0</v>
      </c>
      <c r="E329" s="21">
        <v>0</v>
      </c>
      <c r="F329" s="21">
        <v>0</v>
      </c>
      <c r="G329" s="21">
        <v>0</v>
      </c>
      <c r="H329" s="21">
        <v>0</v>
      </c>
      <c r="I329" s="21">
        <v>0</v>
      </c>
      <c r="J329" s="21">
        <v>0</v>
      </c>
      <c r="K329" s="5">
        <v>0</v>
      </c>
      <c r="L329" s="3">
        <v>0</v>
      </c>
      <c r="M329" s="3">
        <v>600</v>
      </c>
      <c r="N329" s="3">
        <v>1980000</v>
      </c>
      <c r="O329" s="3">
        <v>0</v>
      </c>
      <c r="P329" s="3">
        <v>0</v>
      </c>
      <c r="Q329" s="3">
        <v>0</v>
      </c>
      <c r="R329" s="3">
        <v>0</v>
      </c>
      <c r="S329" s="3">
        <v>0</v>
      </c>
      <c r="T329" s="3">
        <v>0</v>
      </c>
      <c r="U329" s="3">
        <v>200000</v>
      </c>
    </row>
    <row r="330" spans="1:22" ht="23.1" customHeight="1">
      <c r="A330" s="17" t="s">
        <v>937</v>
      </c>
      <c r="B330" s="24" t="s">
        <v>337</v>
      </c>
      <c r="C330" s="1">
        <f t="shared" ref="C330:C355" si="80">D330+L330+N330+P330+R330+S330+T330+U330</f>
        <v>300000</v>
      </c>
      <c r="D330" s="21">
        <f t="shared" si="79"/>
        <v>0</v>
      </c>
      <c r="E330" s="21">
        <v>0</v>
      </c>
      <c r="F330" s="21">
        <v>0</v>
      </c>
      <c r="G330" s="21">
        <v>0</v>
      </c>
      <c r="H330" s="21">
        <v>0</v>
      </c>
      <c r="I330" s="21">
        <v>0</v>
      </c>
      <c r="J330" s="21">
        <v>0</v>
      </c>
      <c r="K330" s="40">
        <v>0</v>
      </c>
      <c r="L330" s="21">
        <v>0</v>
      </c>
      <c r="M330" s="21">
        <v>0</v>
      </c>
      <c r="N330" s="21">
        <v>0</v>
      </c>
      <c r="O330" s="21">
        <v>0</v>
      </c>
      <c r="P330" s="21">
        <v>0</v>
      </c>
      <c r="Q330" s="21">
        <v>0</v>
      </c>
      <c r="R330" s="21">
        <v>0</v>
      </c>
      <c r="S330" s="21">
        <v>0</v>
      </c>
      <c r="T330" s="21">
        <v>0</v>
      </c>
      <c r="U330" s="21">
        <v>300000</v>
      </c>
    </row>
    <row r="331" spans="1:22" ht="42.95" customHeight="1">
      <c r="A331" s="55" t="s">
        <v>339</v>
      </c>
      <c r="B331" s="55"/>
      <c r="C331" s="1">
        <f t="shared" si="80"/>
        <v>3743595</v>
      </c>
      <c r="D331" s="1">
        <f t="shared" ref="D331:U333" si="81">SUM(D332)</f>
        <v>0</v>
      </c>
      <c r="E331" s="1">
        <f t="shared" si="81"/>
        <v>0</v>
      </c>
      <c r="F331" s="1">
        <f t="shared" si="81"/>
        <v>0</v>
      </c>
      <c r="G331" s="1">
        <f t="shared" si="81"/>
        <v>0</v>
      </c>
      <c r="H331" s="1">
        <f t="shared" si="81"/>
        <v>0</v>
      </c>
      <c r="I331" s="1">
        <f t="shared" si="81"/>
        <v>0</v>
      </c>
      <c r="J331" s="1">
        <f t="shared" si="81"/>
        <v>0</v>
      </c>
      <c r="K331" s="42">
        <f t="shared" si="81"/>
        <v>0</v>
      </c>
      <c r="L331" s="1">
        <f t="shared" si="81"/>
        <v>0</v>
      </c>
      <c r="M331" s="1">
        <f t="shared" si="81"/>
        <v>443</v>
      </c>
      <c r="N331" s="1">
        <f t="shared" si="81"/>
        <v>2347900</v>
      </c>
      <c r="O331" s="1">
        <f t="shared" si="81"/>
        <v>0</v>
      </c>
      <c r="P331" s="1">
        <f t="shared" si="81"/>
        <v>0</v>
      </c>
      <c r="Q331" s="1">
        <f t="shared" si="81"/>
        <v>459</v>
      </c>
      <c r="R331" s="1">
        <f t="shared" si="81"/>
        <v>1195695</v>
      </c>
      <c r="S331" s="1">
        <f t="shared" si="81"/>
        <v>0</v>
      </c>
      <c r="T331" s="1">
        <f t="shared" si="81"/>
        <v>0</v>
      </c>
      <c r="U331" s="1">
        <f t="shared" si="81"/>
        <v>200000</v>
      </c>
      <c r="V331" s="13">
        <f>C331+C753</f>
        <v>7948195</v>
      </c>
    </row>
    <row r="332" spans="1:22" ht="23.1" customHeight="1">
      <c r="A332" s="19" t="s">
        <v>938</v>
      </c>
      <c r="B332" s="26" t="s">
        <v>341</v>
      </c>
      <c r="C332" s="1">
        <f t="shared" si="80"/>
        <v>3743595</v>
      </c>
      <c r="D332" s="21">
        <f t="shared" ref="D332" si="82">SUM(E332:J332)</f>
        <v>0</v>
      </c>
      <c r="E332" s="21">
        <v>0</v>
      </c>
      <c r="F332" s="21">
        <v>0</v>
      </c>
      <c r="G332" s="21">
        <v>0</v>
      </c>
      <c r="H332" s="21">
        <v>0</v>
      </c>
      <c r="I332" s="21">
        <v>0</v>
      </c>
      <c r="J332" s="21">
        <v>0</v>
      </c>
      <c r="K332" s="40">
        <v>0</v>
      </c>
      <c r="L332" s="21">
        <v>0</v>
      </c>
      <c r="M332" s="21">
        <v>443</v>
      </c>
      <c r="N332" s="21">
        <v>2347900</v>
      </c>
      <c r="O332" s="21">
        <v>0</v>
      </c>
      <c r="P332" s="21">
        <v>0</v>
      </c>
      <c r="Q332" s="21">
        <v>459</v>
      </c>
      <c r="R332" s="21">
        <v>1195695</v>
      </c>
      <c r="S332" s="21">
        <v>0</v>
      </c>
      <c r="T332" s="21">
        <v>0</v>
      </c>
      <c r="U332" s="21">
        <v>200000</v>
      </c>
    </row>
    <row r="333" spans="1:22" ht="42.95" customHeight="1">
      <c r="A333" s="55" t="s">
        <v>1945</v>
      </c>
      <c r="B333" s="55"/>
      <c r="C333" s="1">
        <f t="shared" ref="C333:C334" si="83">D333+L333+N333+P333+R333+S333+T333+U333</f>
        <v>4169344</v>
      </c>
      <c r="D333" s="1">
        <f t="shared" si="81"/>
        <v>0</v>
      </c>
      <c r="E333" s="1">
        <f t="shared" si="81"/>
        <v>0</v>
      </c>
      <c r="F333" s="1">
        <f t="shared" si="81"/>
        <v>0</v>
      </c>
      <c r="G333" s="1">
        <f t="shared" si="81"/>
        <v>0</v>
      </c>
      <c r="H333" s="1">
        <f t="shared" si="81"/>
        <v>0</v>
      </c>
      <c r="I333" s="1">
        <f t="shared" si="81"/>
        <v>0</v>
      </c>
      <c r="J333" s="1">
        <f t="shared" si="81"/>
        <v>0</v>
      </c>
      <c r="K333" s="42">
        <f t="shared" si="81"/>
        <v>0</v>
      </c>
      <c r="L333" s="1">
        <f t="shared" si="81"/>
        <v>0</v>
      </c>
      <c r="M333" s="1">
        <f t="shared" si="81"/>
        <v>1104</v>
      </c>
      <c r="N333" s="1">
        <f t="shared" si="81"/>
        <v>4069344</v>
      </c>
      <c r="O333" s="1">
        <f t="shared" si="81"/>
        <v>0</v>
      </c>
      <c r="P333" s="1">
        <f t="shared" si="81"/>
        <v>0</v>
      </c>
      <c r="Q333" s="1">
        <f t="shared" si="81"/>
        <v>0</v>
      </c>
      <c r="R333" s="1">
        <f t="shared" si="81"/>
        <v>0</v>
      </c>
      <c r="S333" s="1">
        <f t="shared" si="81"/>
        <v>0</v>
      </c>
      <c r="T333" s="1">
        <f t="shared" si="81"/>
        <v>0</v>
      </c>
      <c r="U333" s="1">
        <f t="shared" si="81"/>
        <v>100000</v>
      </c>
      <c r="V333" s="13">
        <f>C333+C755</f>
        <v>22382654</v>
      </c>
    </row>
    <row r="334" spans="1:22" ht="23.1" customHeight="1">
      <c r="A334" s="19" t="s">
        <v>939</v>
      </c>
      <c r="B334" s="26" t="s">
        <v>1946</v>
      </c>
      <c r="C334" s="1">
        <f t="shared" si="83"/>
        <v>4169344</v>
      </c>
      <c r="D334" s="21">
        <f t="shared" ref="D334" si="84">SUM(E334:J334)</f>
        <v>0</v>
      </c>
      <c r="E334" s="21">
        <v>0</v>
      </c>
      <c r="F334" s="21">
        <v>0</v>
      </c>
      <c r="G334" s="21">
        <v>0</v>
      </c>
      <c r="H334" s="21">
        <v>0</v>
      </c>
      <c r="I334" s="21">
        <v>0</v>
      </c>
      <c r="J334" s="21">
        <v>0</v>
      </c>
      <c r="K334" s="40">
        <v>0</v>
      </c>
      <c r="L334" s="21">
        <v>0</v>
      </c>
      <c r="M334" s="21">
        <v>1104</v>
      </c>
      <c r="N334" s="21">
        <f>M334*3686</f>
        <v>4069344</v>
      </c>
      <c r="O334" s="21">
        <v>0</v>
      </c>
      <c r="P334" s="21">
        <v>0</v>
      </c>
      <c r="Q334" s="21">
        <v>0</v>
      </c>
      <c r="R334" s="21">
        <v>0</v>
      </c>
      <c r="S334" s="21">
        <v>0</v>
      </c>
      <c r="T334" s="21">
        <v>0</v>
      </c>
      <c r="U334" s="21">
        <v>100000</v>
      </c>
    </row>
    <row r="335" spans="1:22" ht="35.1" customHeight="1">
      <c r="A335" s="55" t="s">
        <v>342</v>
      </c>
      <c r="B335" s="55"/>
      <c r="C335" s="1">
        <f t="shared" si="80"/>
        <v>7534654</v>
      </c>
      <c r="D335" s="1">
        <f t="shared" ref="D335:U335" si="85">SUM(D336:D337)</f>
        <v>1123251</v>
      </c>
      <c r="E335" s="1">
        <f t="shared" si="85"/>
        <v>341859</v>
      </c>
      <c r="F335" s="1">
        <f t="shared" si="85"/>
        <v>781392</v>
      </c>
      <c r="G335" s="1">
        <f t="shared" si="85"/>
        <v>0</v>
      </c>
      <c r="H335" s="1">
        <f t="shared" si="85"/>
        <v>0</v>
      </c>
      <c r="I335" s="1">
        <f t="shared" si="85"/>
        <v>0</v>
      </c>
      <c r="J335" s="1">
        <f t="shared" si="85"/>
        <v>0</v>
      </c>
      <c r="K335" s="42">
        <f t="shared" si="85"/>
        <v>0</v>
      </c>
      <c r="L335" s="1">
        <f t="shared" si="85"/>
        <v>0</v>
      </c>
      <c r="M335" s="1">
        <f t="shared" si="85"/>
        <v>842</v>
      </c>
      <c r="N335" s="1">
        <f t="shared" si="85"/>
        <v>4521800</v>
      </c>
      <c r="O335" s="1">
        <f t="shared" si="85"/>
        <v>0</v>
      </c>
      <c r="P335" s="1">
        <f t="shared" si="85"/>
        <v>0</v>
      </c>
      <c r="Q335" s="1">
        <f t="shared" si="85"/>
        <v>648.6</v>
      </c>
      <c r="R335" s="1">
        <f t="shared" si="85"/>
        <v>1689603</v>
      </c>
      <c r="S335" s="1">
        <f t="shared" si="85"/>
        <v>0</v>
      </c>
      <c r="T335" s="1">
        <f t="shared" si="85"/>
        <v>0</v>
      </c>
      <c r="U335" s="1">
        <f t="shared" si="85"/>
        <v>200000</v>
      </c>
      <c r="V335" s="13">
        <f>C335</f>
        <v>7534654</v>
      </c>
    </row>
    <row r="336" spans="1:22" ht="23.1" customHeight="1">
      <c r="A336" s="17" t="s">
        <v>940</v>
      </c>
      <c r="B336" s="24" t="s">
        <v>1939</v>
      </c>
      <c r="C336" s="1">
        <f t="shared" si="80"/>
        <v>1628000</v>
      </c>
      <c r="D336" s="21">
        <f t="shared" ref="D336:D337" si="86">SUM(E336:J336)</f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5">
        <v>0</v>
      </c>
      <c r="L336" s="3">
        <v>0</v>
      </c>
      <c r="M336" s="3">
        <v>296</v>
      </c>
      <c r="N336" s="3">
        <f>M336*5500</f>
        <v>1628000</v>
      </c>
      <c r="O336" s="3">
        <v>0</v>
      </c>
      <c r="P336" s="3">
        <v>0</v>
      </c>
      <c r="Q336" s="3">
        <v>0</v>
      </c>
      <c r="R336" s="3">
        <v>0</v>
      </c>
      <c r="S336" s="3">
        <v>0</v>
      </c>
      <c r="T336" s="3">
        <v>0</v>
      </c>
      <c r="U336" s="3">
        <v>0</v>
      </c>
      <c r="V336" s="13"/>
    </row>
    <row r="337" spans="1:22" ht="23.1" customHeight="1">
      <c r="A337" s="17" t="s">
        <v>941</v>
      </c>
      <c r="B337" s="24" t="s">
        <v>343</v>
      </c>
      <c r="C337" s="1">
        <f t="shared" si="80"/>
        <v>5906654</v>
      </c>
      <c r="D337" s="21">
        <f t="shared" si="86"/>
        <v>1123251</v>
      </c>
      <c r="E337" s="21">
        <f>350*976.74</f>
        <v>341859</v>
      </c>
      <c r="F337" s="21">
        <f>800*976.74</f>
        <v>781392</v>
      </c>
      <c r="G337" s="21">
        <v>0</v>
      </c>
      <c r="H337" s="21">
        <v>0</v>
      </c>
      <c r="I337" s="21">
        <v>0</v>
      </c>
      <c r="J337" s="21">
        <v>0</v>
      </c>
      <c r="K337" s="5">
        <v>0</v>
      </c>
      <c r="L337" s="3">
        <v>0</v>
      </c>
      <c r="M337" s="3">
        <v>546</v>
      </c>
      <c r="N337" s="21">
        <v>2893800</v>
      </c>
      <c r="O337" s="3">
        <v>0</v>
      </c>
      <c r="P337" s="3">
        <v>0</v>
      </c>
      <c r="Q337" s="3">
        <v>648.6</v>
      </c>
      <c r="R337" s="3">
        <v>1689603</v>
      </c>
      <c r="S337" s="3">
        <v>0</v>
      </c>
      <c r="T337" s="3">
        <v>0</v>
      </c>
      <c r="U337" s="3">
        <v>200000</v>
      </c>
      <c r="V337" s="13"/>
    </row>
    <row r="338" spans="1:22" ht="40.15" customHeight="1">
      <c r="A338" s="55" t="s">
        <v>344</v>
      </c>
      <c r="B338" s="55"/>
      <c r="C338" s="1">
        <f t="shared" si="80"/>
        <v>3020000</v>
      </c>
      <c r="D338" s="1">
        <f t="shared" ref="D338:U338" si="87">SUM(D339)</f>
        <v>2820000</v>
      </c>
      <c r="E338" s="1">
        <f t="shared" si="87"/>
        <v>420000</v>
      </c>
      <c r="F338" s="1">
        <f t="shared" si="87"/>
        <v>960000</v>
      </c>
      <c r="G338" s="1">
        <f t="shared" si="87"/>
        <v>360000</v>
      </c>
      <c r="H338" s="1">
        <f t="shared" si="87"/>
        <v>600000</v>
      </c>
      <c r="I338" s="1">
        <f t="shared" si="87"/>
        <v>480000</v>
      </c>
      <c r="J338" s="1">
        <f t="shared" si="87"/>
        <v>0</v>
      </c>
      <c r="K338" s="42">
        <f t="shared" si="87"/>
        <v>0</v>
      </c>
      <c r="L338" s="1">
        <f t="shared" si="87"/>
        <v>0</v>
      </c>
      <c r="M338" s="1">
        <f t="shared" si="87"/>
        <v>0</v>
      </c>
      <c r="N338" s="1">
        <f t="shared" si="87"/>
        <v>0</v>
      </c>
      <c r="O338" s="1">
        <f t="shared" si="87"/>
        <v>0</v>
      </c>
      <c r="P338" s="1">
        <f t="shared" si="87"/>
        <v>0</v>
      </c>
      <c r="Q338" s="1">
        <f t="shared" si="87"/>
        <v>0</v>
      </c>
      <c r="R338" s="1">
        <f t="shared" si="87"/>
        <v>0</v>
      </c>
      <c r="S338" s="1">
        <f t="shared" si="87"/>
        <v>0</v>
      </c>
      <c r="T338" s="1">
        <f t="shared" si="87"/>
        <v>0</v>
      </c>
      <c r="U338" s="1">
        <f t="shared" si="87"/>
        <v>200000</v>
      </c>
      <c r="V338" s="13">
        <f>C338+C755</f>
        <v>21233310</v>
      </c>
    </row>
    <row r="339" spans="1:22" ht="21.95" customHeight="1">
      <c r="A339" s="19" t="s">
        <v>942</v>
      </c>
      <c r="B339" s="24" t="s">
        <v>854</v>
      </c>
      <c r="C339" s="1">
        <f t="shared" si="80"/>
        <v>3020000</v>
      </c>
      <c r="D339" s="21">
        <f t="shared" ref="D339" si="88">SUM(E339:J339)</f>
        <v>2820000</v>
      </c>
      <c r="E339" s="21">
        <f>350*1200</f>
        <v>420000</v>
      </c>
      <c r="F339" s="21">
        <f>800*1200</f>
        <v>960000</v>
      </c>
      <c r="G339" s="21">
        <f>300*1200</f>
        <v>360000</v>
      </c>
      <c r="H339" s="21">
        <f>500*1200</f>
        <v>600000</v>
      </c>
      <c r="I339" s="21">
        <f>400*1200</f>
        <v>480000</v>
      </c>
      <c r="J339" s="21">
        <f>350*0</f>
        <v>0</v>
      </c>
      <c r="K339" s="40">
        <v>0</v>
      </c>
      <c r="L339" s="21">
        <v>0</v>
      </c>
      <c r="M339" s="21">
        <v>0</v>
      </c>
      <c r="N339" s="21">
        <v>0</v>
      </c>
      <c r="O339" s="21">
        <v>0</v>
      </c>
      <c r="P339" s="21">
        <v>0</v>
      </c>
      <c r="Q339" s="21">
        <v>0</v>
      </c>
      <c r="R339" s="21">
        <v>0</v>
      </c>
      <c r="S339" s="21">
        <v>0</v>
      </c>
      <c r="T339" s="21">
        <v>0</v>
      </c>
      <c r="U339" s="21">
        <v>200000</v>
      </c>
    </row>
    <row r="340" spans="1:22" ht="40.15" customHeight="1">
      <c r="A340" s="55" t="s">
        <v>346</v>
      </c>
      <c r="B340" s="55"/>
      <c r="C340" s="1">
        <f t="shared" si="80"/>
        <v>3115000</v>
      </c>
      <c r="D340" s="1">
        <f t="shared" ref="D340:U340" si="89">SUM(D341)</f>
        <v>0</v>
      </c>
      <c r="E340" s="1">
        <f t="shared" si="89"/>
        <v>0</v>
      </c>
      <c r="F340" s="1">
        <f t="shared" si="89"/>
        <v>0</v>
      </c>
      <c r="G340" s="1">
        <f t="shared" si="89"/>
        <v>0</v>
      </c>
      <c r="H340" s="1">
        <f t="shared" si="89"/>
        <v>0</v>
      </c>
      <c r="I340" s="1">
        <f t="shared" si="89"/>
        <v>0</v>
      </c>
      <c r="J340" s="1">
        <f t="shared" si="89"/>
        <v>0</v>
      </c>
      <c r="K340" s="42">
        <f t="shared" si="89"/>
        <v>0</v>
      </c>
      <c r="L340" s="1">
        <f t="shared" si="89"/>
        <v>0</v>
      </c>
      <c r="M340" s="1">
        <f t="shared" si="89"/>
        <v>550</v>
      </c>
      <c r="N340" s="1">
        <f t="shared" si="89"/>
        <v>2915000</v>
      </c>
      <c r="O340" s="1">
        <f t="shared" si="89"/>
        <v>0</v>
      </c>
      <c r="P340" s="1">
        <f t="shared" si="89"/>
        <v>0</v>
      </c>
      <c r="Q340" s="1">
        <f t="shared" si="89"/>
        <v>0</v>
      </c>
      <c r="R340" s="1">
        <f t="shared" si="89"/>
        <v>0</v>
      </c>
      <c r="S340" s="1">
        <f t="shared" si="89"/>
        <v>0</v>
      </c>
      <c r="T340" s="1">
        <f t="shared" si="89"/>
        <v>0</v>
      </c>
      <c r="U340" s="1">
        <f t="shared" si="89"/>
        <v>200000</v>
      </c>
      <c r="V340" s="13">
        <f>C340</f>
        <v>3115000</v>
      </c>
    </row>
    <row r="341" spans="1:22" ht="21.95" customHeight="1">
      <c r="A341" s="19" t="s">
        <v>943</v>
      </c>
      <c r="B341" s="24" t="s">
        <v>347</v>
      </c>
      <c r="C341" s="1">
        <f t="shared" si="80"/>
        <v>3115000</v>
      </c>
      <c r="D341" s="21">
        <f t="shared" ref="D341" si="90">SUM(E341:J341)</f>
        <v>0</v>
      </c>
      <c r="E341" s="21">
        <v>0</v>
      </c>
      <c r="F341" s="21">
        <v>0</v>
      </c>
      <c r="G341" s="21">
        <v>0</v>
      </c>
      <c r="H341" s="21">
        <v>0</v>
      </c>
      <c r="I341" s="21">
        <v>0</v>
      </c>
      <c r="J341" s="21">
        <v>0</v>
      </c>
      <c r="K341" s="40">
        <v>0</v>
      </c>
      <c r="L341" s="21">
        <v>0</v>
      </c>
      <c r="M341" s="21">
        <v>550</v>
      </c>
      <c r="N341" s="21">
        <f>M341*5300</f>
        <v>2915000</v>
      </c>
      <c r="O341" s="21">
        <v>0</v>
      </c>
      <c r="P341" s="21">
        <v>0</v>
      </c>
      <c r="Q341" s="21">
        <v>0</v>
      </c>
      <c r="R341" s="21">
        <v>0</v>
      </c>
      <c r="S341" s="21">
        <v>0</v>
      </c>
      <c r="T341" s="21">
        <v>0</v>
      </c>
      <c r="U341" s="21">
        <v>200000</v>
      </c>
    </row>
    <row r="342" spans="1:22" ht="40.15" customHeight="1">
      <c r="A342" s="55" t="s">
        <v>1968</v>
      </c>
      <c r="B342" s="55"/>
      <c r="C342" s="1">
        <f t="shared" si="80"/>
        <v>87084008.530000001</v>
      </c>
      <c r="D342" s="1">
        <f t="shared" ref="D342:U342" si="91">SUM(D343:D356)</f>
        <v>2256000</v>
      </c>
      <c r="E342" s="1">
        <f t="shared" si="91"/>
        <v>752000</v>
      </c>
      <c r="F342" s="1">
        <f t="shared" si="91"/>
        <v>0</v>
      </c>
      <c r="G342" s="1">
        <f t="shared" si="91"/>
        <v>752000</v>
      </c>
      <c r="H342" s="1">
        <f t="shared" si="91"/>
        <v>0</v>
      </c>
      <c r="I342" s="1">
        <f t="shared" si="91"/>
        <v>752000</v>
      </c>
      <c r="J342" s="1">
        <f t="shared" si="91"/>
        <v>0</v>
      </c>
      <c r="K342" s="42">
        <f t="shared" si="91"/>
        <v>6</v>
      </c>
      <c r="L342" s="1">
        <f t="shared" si="91"/>
        <v>12900000</v>
      </c>
      <c r="M342" s="1">
        <f t="shared" si="91"/>
        <v>10204.75</v>
      </c>
      <c r="N342" s="1">
        <f t="shared" si="91"/>
        <v>40446875</v>
      </c>
      <c r="O342" s="1">
        <f t="shared" si="91"/>
        <v>0</v>
      </c>
      <c r="P342" s="1">
        <f t="shared" si="91"/>
        <v>0</v>
      </c>
      <c r="Q342" s="1">
        <f t="shared" si="91"/>
        <v>10420</v>
      </c>
      <c r="R342" s="1">
        <f t="shared" si="91"/>
        <v>27144100</v>
      </c>
      <c r="S342" s="1">
        <f t="shared" si="91"/>
        <v>500000</v>
      </c>
      <c r="T342" s="1">
        <f t="shared" si="91"/>
        <v>0</v>
      </c>
      <c r="U342" s="1">
        <f t="shared" si="91"/>
        <v>3837033.5300000003</v>
      </c>
      <c r="V342" s="13">
        <f>C342+C757+C1100</f>
        <v>305611536.02999997</v>
      </c>
    </row>
    <row r="343" spans="1:22" ht="21.95" customHeight="1">
      <c r="A343" s="19" t="s">
        <v>1787</v>
      </c>
      <c r="B343" s="24" t="s">
        <v>348</v>
      </c>
      <c r="C343" s="1">
        <f t="shared" si="80"/>
        <v>3033380</v>
      </c>
      <c r="D343" s="21">
        <f t="shared" ref="D343:D356" si="92">SUM(E343:J343)</f>
        <v>0</v>
      </c>
      <c r="E343" s="21">
        <v>0</v>
      </c>
      <c r="F343" s="21">
        <v>0</v>
      </c>
      <c r="G343" s="21">
        <v>0</v>
      </c>
      <c r="H343" s="21">
        <v>0</v>
      </c>
      <c r="I343" s="21">
        <v>0</v>
      </c>
      <c r="J343" s="21">
        <v>0</v>
      </c>
      <c r="K343" s="40">
        <v>0</v>
      </c>
      <c r="L343" s="21">
        <v>0</v>
      </c>
      <c r="M343" s="21">
        <v>858.6</v>
      </c>
      <c r="N343" s="21">
        <v>2833380</v>
      </c>
      <c r="O343" s="21">
        <v>0</v>
      </c>
      <c r="P343" s="21">
        <v>0</v>
      </c>
      <c r="Q343" s="21">
        <v>0</v>
      </c>
      <c r="R343" s="21">
        <v>0</v>
      </c>
      <c r="S343" s="21">
        <v>0</v>
      </c>
      <c r="T343" s="21">
        <v>0</v>
      </c>
      <c r="U343" s="21">
        <v>200000</v>
      </c>
    </row>
    <row r="344" spans="1:22" ht="21.95" customHeight="1">
      <c r="A344" s="19" t="s">
        <v>944</v>
      </c>
      <c r="B344" s="24" t="s">
        <v>349</v>
      </c>
      <c r="C344" s="1">
        <f t="shared" si="80"/>
        <v>4028000</v>
      </c>
      <c r="D344" s="21">
        <f t="shared" si="92"/>
        <v>0</v>
      </c>
      <c r="E344" s="21">
        <v>0</v>
      </c>
      <c r="F344" s="21">
        <v>0</v>
      </c>
      <c r="G344" s="21">
        <v>0</v>
      </c>
      <c r="H344" s="21">
        <v>0</v>
      </c>
      <c r="I344" s="21">
        <v>0</v>
      </c>
      <c r="J344" s="21">
        <v>0</v>
      </c>
      <c r="K344" s="40">
        <v>0</v>
      </c>
      <c r="L344" s="21">
        <v>0</v>
      </c>
      <c r="M344" s="21">
        <v>1160</v>
      </c>
      <c r="N344" s="21">
        <v>3828000</v>
      </c>
      <c r="O344" s="21">
        <v>0</v>
      </c>
      <c r="P344" s="21">
        <v>0</v>
      </c>
      <c r="Q344" s="21">
        <v>0</v>
      </c>
      <c r="R344" s="21">
        <v>0</v>
      </c>
      <c r="S344" s="21">
        <v>0</v>
      </c>
      <c r="T344" s="21">
        <v>0</v>
      </c>
      <c r="U344" s="21">
        <v>200000</v>
      </c>
    </row>
    <row r="345" spans="1:22" ht="21.95" customHeight="1">
      <c r="A345" s="19" t="s">
        <v>945</v>
      </c>
      <c r="B345" s="24" t="s">
        <v>350</v>
      </c>
      <c r="C345" s="1">
        <f t="shared" si="80"/>
        <v>4978400</v>
      </c>
      <c r="D345" s="21">
        <f t="shared" si="92"/>
        <v>0</v>
      </c>
      <c r="E345" s="21">
        <v>0</v>
      </c>
      <c r="F345" s="21">
        <v>0</v>
      </c>
      <c r="G345" s="21">
        <v>0</v>
      </c>
      <c r="H345" s="21">
        <v>0</v>
      </c>
      <c r="I345" s="21">
        <v>0</v>
      </c>
      <c r="J345" s="21">
        <v>0</v>
      </c>
      <c r="K345" s="40">
        <v>0</v>
      </c>
      <c r="L345" s="21">
        <v>0</v>
      </c>
      <c r="M345" s="21">
        <v>1448</v>
      </c>
      <c r="N345" s="21">
        <v>4778400</v>
      </c>
      <c r="O345" s="21">
        <v>0</v>
      </c>
      <c r="P345" s="21">
        <v>0</v>
      </c>
      <c r="Q345" s="21">
        <v>0</v>
      </c>
      <c r="R345" s="21">
        <v>0</v>
      </c>
      <c r="S345" s="21">
        <v>0</v>
      </c>
      <c r="T345" s="21">
        <v>0</v>
      </c>
      <c r="U345" s="21">
        <v>200000</v>
      </c>
    </row>
    <row r="346" spans="1:22" ht="21.95" customHeight="1">
      <c r="A346" s="19" t="s">
        <v>946</v>
      </c>
      <c r="B346" s="24" t="s">
        <v>351</v>
      </c>
      <c r="C346" s="1">
        <f t="shared" si="80"/>
        <v>5115020</v>
      </c>
      <c r="D346" s="21">
        <f t="shared" si="92"/>
        <v>0</v>
      </c>
      <c r="E346" s="21">
        <v>0</v>
      </c>
      <c r="F346" s="21">
        <v>0</v>
      </c>
      <c r="G346" s="21">
        <v>0</v>
      </c>
      <c r="H346" s="21">
        <v>0</v>
      </c>
      <c r="I346" s="21">
        <v>0</v>
      </c>
      <c r="J346" s="21">
        <v>0</v>
      </c>
      <c r="K346" s="40">
        <v>0</v>
      </c>
      <c r="L346" s="21">
        <v>0</v>
      </c>
      <c r="M346" s="21">
        <v>1489.4</v>
      </c>
      <c r="N346" s="21">
        <v>4915020</v>
      </c>
      <c r="O346" s="21">
        <v>0</v>
      </c>
      <c r="P346" s="21">
        <v>0</v>
      </c>
      <c r="Q346" s="21">
        <v>0</v>
      </c>
      <c r="R346" s="21">
        <v>0</v>
      </c>
      <c r="S346" s="21">
        <v>0</v>
      </c>
      <c r="T346" s="21">
        <v>0</v>
      </c>
      <c r="U346" s="21">
        <v>200000</v>
      </c>
    </row>
    <row r="347" spans="1:22" ht="21.95" customHeight="1">
      <c r="A347" s="19" t="s">
        <v>947</v>
      </c>
      <c r="B347" s="24" t="s">
        <v>352</v>
      </c>
      <c r="C347" s="1">
        <f t="shared" si="80"/>
        <v>4628500</v>
      </c>
      <c r="D347" s="21">
        <f t="shared" si="92"/>
        <v>0</v>
      </c>
      <c r="E347" s="21">
        <v>0</v>
      </c>
      <c r="F347" s="21">
        <v>0</v>
      </c>
      <c r="G347" s="21">
        <v>0</v>
      </c>
      <c r="H347" s="21">
        <v>0</v>
      </c>
      <c r="I347" s="21">
        <v>0</v>
      </c>
      <c r="J347" s="21">
        <v>0</v>
      </c>
      <c r="K347" s="40">
        <v>0</v>
      </c>
      <c r="L347" s="21">
        <v>0</v>
      </c>
      <c r="M347" s="21">
        <v>0</v>
      </c>
      <c r="N347" s="21">
        <v>0</v>
      </c>
      <c r="O347" s="21">
        <v>0</v>
      </c>
      <c r="P347" s="21">
        <v>0</v>
      </c>
      <c r="Q347" s="21">
        <v>1700</v>
      </c>
      <c r="R347" s="21">
        <v>4428500</v>
      </c>
      <c r="S347" s="21">
        <v>0</v>
      </c>
      <c r="T347" s="21">
        <v>0</v>
      </c>
      <c r="U347" s="21">
        <v>200000</v>
      </c>
    </row>
    <row r="348" spans="1:22" ht="21.95" customHeight="1">
      <c r="A348" s="19" t="s">
        <v>948</v>
      </c>
      <c r="B348" s="24" t="s">
        <v>353</v>
      </c>
      <c r="C348" s="1">
        <f t="shared" si="80"/>
        <v>300000</v>
      </c>
      <c r="D348" s="21">
        <f t="shared" si="92"/>
        <v>0</v>
      </c>
      <c r="E348" s="21">
        <v>0</v>
      </c>
      <c r="F348" s="21">
        <v>0</v>
      </c>
      <c r="G348" s="21">
        <v>0</v>
      </c>
      <c r="H348" s="21">
        <v>0</v>
      </c>
      <c r="I348" s="21">
        <v>0</v>
      </c>
      <c r="J348" s="21">
        <v>0</v>
      </c>
      <c r="K348" s="40">
        <v>0</v>
      </c>
      <c r="L348" s="21">
        <v>0</v>
      </c>
      <c r="M348" s="21">
        <v>0</v>
      </c>
      <c r="N348" s="21">
        <v>0</v>
      </c>
      <c r="O348" s="21">
        <v>0</v>
      </c>
      <c r="P348" s="21">
        <v>0</v>
      </c>
      <c r="Q348" s="21">
        <v>0</v>
      </c>
      <c r="R348" s="21">
        <v>0</v>
      </c>
      <c r="S348" s="21">
        <v>0</v>
      </c>
      <c r="T348" s="21">
        <v>0</v>
      </c>
      <c r="U348" s="21">
        <v>300000</v>
      </c>
    </row>
    <row r="349" spans="1:22" ht="21.95" customHeight="1">
      <c r="A349" s="19" t="s">
        <v>949</v>
      </c>
      <c r="B349" s="24" t="s">
        <v>354</v>
      </c>
      <c r="C349" s="1">
        <f t="shared" si="80"/>
        <v>4602450</v>
      </c>
      <c r="D349" s="21">
        <f t="shared" si="92"/>
        <v>0</v>
      </c>
      <c r="E349" s="21">
        <v>0</v>
      </c>
      <c r="F349" s="21">
        <v>0</v>
      </c>
      <c r="G349" s="21">
        <v>0</v>
      </c>
      <c r="H349" s="21">
        <v>0</v>
      </c>
      <c r="I349" s="21">
        <v>0</v>
      </c>
      <c r="J349" s="21">
        <v>0</v>
      </c>
      <c r="K349" s="40">
        <v>0</v>
      </c>
      <c r="L349" s="21">
        <v>0</v>
      </c>
      <c r="M349" s="21">
        <v>0</v>
      </c>
      <c r="N349" s="21">
        <v>0</v>
      </c>
      <c r="O349" s="21">
        <v>0</v>
      </c>
      <c r="P349" s="21">
        <v>0</v>
      </c>
      <c r="Q349" s="21">
        <v>1690</v>
      </c>
      <c r="R349" s="21">
        <v>4402450</v>
      </c>
      <c r="S349" s="21">
        <v>0</v>
      </c>
      <c r="T349" s="21">
        <v>0</v>
      </c>
      <c r="U349" s="21">
        <v>200000</v>
      </c>
    </row>
    <row r="350" spans="1:22" ht="21.95" customHeight="1">
      <c r="A350" s="19" t="s">
        <v>1949</v>
      </c>
      <c r="B350" s="24" t="s">
        <v>355</v>
      </c>
      <c r="C350" s="1">
        <f t="shared" si="80"/>
        <v>4628500</v>
      </c>
      <c r="D350" s="21">
        <f t="shared" si="92"/>
        <v>0</v>
      </c>
      <c r="E350" s="21">
        <v>0</v>
      </c>
      <c r="F350" s="21">
        <v>0</v>
      </c>
      <c r="G350" s="21">
        <v>0</v>
      </c>
      <c r="H350" s="21">
        <v>0</v>
      </c>
      <c r="I350" s="21">
        <v>0</v>
      </c>
      <c r="J350" s="21">
        <v>0</v>
      </c>
      <c r="K350" s="40">
        <v>0</v>
      </c>
      <c r="L350" s="21">
        <v>0</v>
      </c>
      <c r="M350" s="21">
        <v>0</v>
      </c>
      <c r="N350" s="21">
        <v>0</v>
      </c>
      <c r="O350" s="21">
        <v>0</v>
      </c>
      <c r="P350" s="21">
        <v>0</v>
      </c>
      <c r="Q350" s="21">
        <v>1700</v>
      </c>
      <c r="R350" s="21">
        <v>4428500</v>
      </c>
      <c r="S350" s="21">
        <v>0</v>
      </c>
      <c r="T350" s="21">
        <v>0</v>
      </c>
      <c r="U350" s="21">
        <v>200000</v>
      </c>
    </row>
    <row r="351" spans="1:22" ht="21.95" customHeight="1">
      <c r="A351" s="19" t="s">
        <v>950</v>
      </c>
      <c r="B351" s="24" t="s">
        <v>356</v>
      </c>
      <c r="C351" s="1">
        <f t="shared" si="80"/>
        <v>4628500</v>
      </c>
      <c r="D351" s="21">
        <f t="shared" si="92"/>
        <v>0</v>
      </c>
      <c r="E351" s="21">
        <v>0</v>
      </c>
      <c r="F351" s="21">
        <v>0</v>
      </c>
      <c r="G351" s="21">
        <v>0</v>
      </c>
      <c r="H351" s="21">
        <v>0</v>
      </c>
      <c r="I351" s="21">
        <v>0</v>
      </c>
      <c r="J351" s="21">
        <v>0</v>
      </c>
      <c r="K351" s="40">
        <v>0</v>
      </c>
      <c r="L351" s="21">
        <v>0</v>
      </c>
      <c r="M351" s="21">
        <v>0</v>
      </c>
      <c r="N351" s="21">
        <v>0</v>
      </c>
      <c r="O351" s="21">
        <v>0</v>
      </c>
      <c r="P351" s="21">
        <v>0</v>
      </c>
      <c r="Q351" s="21">
        <v>1700</v>
      </c>
      <c r="R351" s="21">
        <v>4428500</v>
      </c>
      <c r="S351" s="21">
        <v>0</v>
      </c>
      <c r="T351" s="21">
        <v>0</v>
      </c>
      <c r="U351" s="21">
        <v>200000</v>
      </c>
    </row>
    <row r="352" spans="1:22" ht="21.95" customHeight="1">
      <c r="A352" s="19" t="s">
        <v>951</v>
      </c>
      <c r="B352" s="24" t="s">
        <v>1573</v>
      </c>
      <c r="C352" s="1">
        <f t="shared" si="80"/>
        <v>7195990</v>
      </c>
      <c r="D352" s="21">
        <f t="shared" si="92"/>
        <v>0</v>
      </c>
      <c r="E352" s="21">
        <v>0</v>
      </c>
      <c r="F352" s="21">
        <v>0</v>
      </c>
      <c r="G352" s="21">
        <v>0</v>
      </c>
      <c r="H352" s="21">
        <v>0</v>
      </c>
      <c r="I352" s="21">
        <v>0</v>
      </c>
      <c r="J352" s="21">
        <v>0</v>
      </c>
      <c r="K352" s="40">
        <v>0</v>
      </c>
      <c r="L352" s="21">
        <v>0</v>
      </c>
      <c r="M352" s="3">
        <v>783.3</v>
      </c>
      <c r="N352" s="3">
        <v>4151490</v>
      </c>
      <c r="O352" s="21">
        <v>0</v>
      </c>
      <c r="P352" s="21">
        <v>0</v>
      </c>
      <c r="Q352" s="21">
        <v>900</v>
      </c>
      <c r="R352" s="21">
        <f>Q352*2605</f>
        <v>2344500</v>
      </c>
      <c r="S352" s="21">
        <v>500000</v>
      </c>
      <c r="T352" s="21">
        <v>0</v>
      </c>
      <c r="U352" s="21">
        <v>200000</v>
      </c>
    </row>
    <row r="353" spans="1:21" ht="21.95" customHeight="1">
      <c r="A353" s="19" t="s">
        <v>952</v>
      </c>
      <c r="B353" s="24" t="s">
        <v>1532</v>
      </c>
      <c r="C353" s="1">
        <f t="shared" si="80"/>
        <v>10148413.529999999</v>
      </c>
      <c r="D353" s="21">
        <f t="shared" si="92"/>
        <v>0</v>
      </c>
      <c r="E353" s="21">
        <v>0</v>
      </c>
      <c r="F353" s="21">
        <v>0</v>
      </c>
      <c r="G353" s="21">
        <v>0</v>
      </c>
      <c r="H353" s="21">
        <v>0</v>
      </c>
      <c r="I353" s="21">
        <v>0</v>
      </c>
      <c r="J353" s="21">
        <v>0</v>
      </c>
      <c r="K353" s="40">
        <v>0</v>
      </c>
      <c r="L353" s="21">
        <v>0</v>
      </c>
      <c r="M353" s="3">
        <v>1794.6</v>
      </c>
      <c r="N353" s="3">
        <v>9511380</v>
      </c>
      <c r="O353" s="21">
        <v>0</v>
      </c>
      <c r="P353" s="21">
        <v>0</v>
      </c>
      <c r="Q353" s="21">
        <v>0</v>
      </c>
      <c r="R353" s="21">
        <v>0</v>
      </c>
      <c r="S353" s="21">
        <v>0</v>
      </c>
      <c r="T353" s="21">
        <v>0</v>
      </c>
      <c r="U353" s="21">
        <v>637033.53</v>
      </c>
    </row>
    <row r="354" spans="1:21" ht="21.95" customHeight="1">
      <c r="A354" s="19" t="s">
        <v>953</v>
      </c>
      <c r="B354" s="24" t="s">
        <v>1574</v>
      </c>
      <c r="C354" s="1">
        <f t="shared" si="80"/>
        <v>9602310</v>
      </c>
      <c r="D354" s="21">
        <f t="shared" si="92"/>
        <v>2256000</v>
      </c>
      <c r="E354" s="21">
        <v>752000</v>
      </c>
      <c r="F354" s="21">
        <v>0</v>
      </c>
      <c r="G354" s="21">
        <v>752000</v>
      </c>
      <c r="H354" s="21">
        <v>0</v>
      </c>
      <c r="I354" s="21">
        <v>752000</v>
      </c>
      <c r="J354" s="21">
        <v>0</v>
      </c>
      <c r="K354" s="40">
        <v>0</v>
      </c>
      <c r="L354" s="21">
        <v>0</v>
      </c>
      <c r="M354" s="3">
        <v>807.7</v>
      </c>
      <c r="N354" s="3">
        <v>4280810</v>
      </c>
      <c r="O354" s="21">
        <v>0</v>
      </c>
      <c r="P354" s="21">
        <v>0</v>
      </c>
      <c r="Q354" s="21">
        <v>1100</v>
      </c>
      <c r="R354" s="21">
        <f>Q354*2605</f>
        <v>2865500</v>
      </c>
      <c r="S354" s="21">
        <v>0</v>
      </c>
      <c r="T354" s="21">
        <v>0</v>
      </c>
      <c r="U354" s="21">
        <v>200000</v>
      </c>
    </row>
    <row r="355" spans="1:21" ht="21.95" customHeight="1">
      <c r="A355" s="19" t="s">
        <v>954</v>
      </c>
      <c r="B355" s="39" t="s">
        <v>1555</v>
      </c>
      <c r="C355" s="1">
        <f t="shared" si="80"/>
        <v>4746150</v>
      </c>
      <c r="D355" s="21">
        <f t="shared" si="92"/>
        <v>0</v>
      </c>
      <c r="E355" s="21">
        <v>0</v>
      </c>
      <c r="F355" s="21">
        <v>0</v>
      </c>
      <c r="G355" s="21">
        <v>0</v>
      </c>
      <c r="H355" s="21">
        <v>0</v>
      </c>
      <c r="I355" s="21">
        <v>0</v>
      </c>
      <c r="J355" s="21">
        <v>0</v>
      </c>
      <c r="K355" s="40">
        <v>0</v>
      </c>
      <c r="L355" s="21">
        <v>0</v>
      </c>
      <c r="M355" s="21">
        <v>0</v>
      </c>
      <c r="N355" s="21">
        <v>0</v>
      </c>
      <c r="O355" s="21">
        <v>0</v>
      </c>
      <c r="P355" s="21">
        <v>0</v>
      </c>
      <c r="Q355" s="38">
        <v>1630</v>
      </c>
      <c r="R355" s="3">
        <v>4246150</v>
      </c>
      <c r="S355" s="21">
        <v>0</v>
      </c>
      <c r="T355" s="21">
        <v>0</v>
      </c>
      <c r="U355" s="21">
        <v>500000</v>
      </c>
    </row>
    <row r="356" spans="1:21" ht="21.95" customHeight="1">
      <c r="A356" s="19" t="s">
        <v>955</v>
      </c>
      <c r="B356" s="24" t="s">
        <v>381</v>
      </c>
      <c r="C356" s="1">
        <f>D356+L356+N356+P356+R356+S356+T356+U356</f>
        <v>19448395</v>
      </c>
      <c r="D356" s="21">
        <f t="shared" si="92"/>
        <v>0</v>
      </c>
      <c r="E356" s="21">
        <v>0</v>
      </c>
      <c r="F356" s="21">
        <v>0</v>
      </c>
      <c r="G356" s="21">
        <v>0</v>
      </c>
      <c r="H356" s="21">
        <v>0</v>
      </c>
      <c r="I356" s="21">
        <v>0</v>
      </c>
      <c r="J356" s="21">
        <v>0</v>
      </c>
      <c r="K356" s="40">
        <v>6</v>
      </c>
      <c r="L356" s="21">
        <v>12900000</v>
      </c>
      <c r="M356" s="21">
        <v>1863.15</v>
      </c>
      <c r="N356" s="21">
        <v>6148395</v>
      </c>
      <c r="O356" s="21">
        <v>0</v>
      </c>
      <c r="P356" s="21">
        <v>0</v>
      </c>
      <c r="Q356" s="21">
        <v>0</v>
      </c>
      <c r="R356" s="21">
        <v>0</v>
      </c>
      <c r="S356" s="21">
        <v>0</v>
      </c>
      <c r="T356" s="21">
        <v>0</v>
      </c>
      <c r="U356" s="21">
        <v>400000</v>
      </c>
    </row>
    <row r="357" spans="1:21" s="45" customFormat="1" ht="24.95" customHeight="1">
      <c r="A357" s="57" t="s">
        <v>215</v>
      </c>
      <c r="B357" s="57"/>
      <c r="C357" s="57"/>
      <c r="D357" s="57"/>
      <c r="E357" s="57"/>
      <c r="F357" s="57"/>
      <c r="G357" s="57"/>
      <c r="H357" s="57"/>
      <c r="I357" s="57"/>
      <c r="J357" s="57"/>
      <c r="K357" s="57"/>
      <c r="L357" s="57"/>
      <c r="M357" s="57"/>
      <c r="N357" s="57"/>
      <c r="O357" s="57"/>
      <c r="P357" s="57"/>
      <c r="Q357" s="57"/>
      <c r="R357" s="57"/>
      <c r="S357" s="57"/>
      <c r="T357" s="57"/>
      <c r="U357" s="57"/>
    </row>
    <row r="358" spans="1:21" ht="24.95" customHeight="1">
      <c r="A358" s="56" t="s">
        <v>216</v>
      </c>
      <c r="B358" s="56"/>
      <c r="C358" s="1">
        <f t="shared" ref="C358:C421" si="93">D358+L358+N358+P358+R358+S358+T358+U358</f>
        <v>1401797504.9900002</v>
      </c>
      <c r="D358" s="1">
        <f t="shared" ref="D358:U358" si="94">D359+D362+D383+D385+D390+D394+D396+D399+D401+D405+D413+D415+D417+D420+D422+D425+D428+D432+D435+D438+D445+D447+D467+D469+D479+D488+D490+D492+D508+D510+D513+D515+D722+D726+D728+D731+D741+D743+D747+D749+D753+D755+D757+D771</f>
        <v>227566741</v>
      </c>
      <c r="E358" s="1">
        <f t="shared" si="94"/>
        <v>38893536.5</v>
      </c>
      <c r="F358" s="1">
        <f t="shared" si="94"/>
        <v>80349488</v>
      </c>
      <c r="G358" s="1">
        <f t="shared" si="94"/>
        <v>33915759.5</v>
      </c>
      <c r="H358" s="1">
        <f t="shared" si="94"/>
        <v>33243585</v>
      </c>
      <c r="I358" s="1">
        <f t="shared" si="94"/>
        <v>41164372</v>
      </c>
      <c r="J358" s="1">
        <f t="shared" si="94"/>
        <v>0</v>
      </c>
      <c r="K358" s="42">
        <f t="shared" si="94"/>
        <v>19</v>
      </c>
      <c r="L358" s="1">
        <f t="shared" si="94"/>
        <v>41600000</v>
      </c>
      <c r="M358" s="1">
        <f t="shared" si="94"/>
        <v>153296.69</v>
      </c>
      <c r="N358" s="1">
        <f t="shared" si="94"/>
        <v>771029443.60000002</v>
      </c>
      <c r="O358" s="1">
        <f t="shared" si="94"/>
        <v>1442.8</v>
      </c>
      <c r="P358" s="1">
        <f t="shared" si="94"/>
        <v>3893940</v>
      </c>
      <c r="Q358" s="1">
        <f t="shared" si="94"/>
        <v>108394.89</v>
      </c>
      <c r="R358" s="1">
        <f t="shared" si="94"/>
        <v>283337728.95000005</v>
      </c>
      <c r="S358" s="1">
        <f t="shared" si="94"/>
        <v>4720716</v>
      </c>
      <c r="T358" s="1">
        <f t="shared" si="94"/>
        <v>0</v>
      </c>
      <c r="U358" s="1">
        <f t="shared" si="94"/>
        <v>69648935.439999998</v>
      </c>
    </row>
    <row r="359" spans="1:21" ht="45" customHeight="1">
      <c r="A359" s="55" t="s">
        <v>1969</v>
      </c>
      <c r="B359" s="55"/>
      <c r="C359" s="1">
        <f t="shared" si="93"/>
        <v>9719095.5999999996</v>
      </c>
      <c r="D359" s="1">
        <f t="shared" ref="D359:U359" si="95">SUM(D360:D361)</f>
        <v>1426950</v>
      </c>
      <c r="E359" s="1">
        <f t="shared" si="95"/>
        <v>475650</v>
      </c>
      <c r="F359" s="1">
        <f t="shared" si="95"/>
        <v>0</v>
      </c>
      <c r="G359" s="1">
        <f t="shared" si="95"/>
        <v>407700</v>
      </c>
      <c r="H359" s="1">
        <f t="shared" si="95"/>
        <v>0</v>
      </c>
      <c r="I359" s="1">
        <f t="shared" si="95"/>
        <v>543600</v>
      </c>
      <c r="J359" s="1">
        <f t="shared" si="95"/>
        <v>0</v>
      </c>
      <c r="K359" s="42">
        <f t="shared" si="95"/>
        <v>0</v>
      </c>
      <c r="L359" s="1">
        <f t="shared" si="95"/>
        <v>0</v>
      </c>
      <c r="M359" s="1">
        <f t="shared" si="95"/>
        <v>1043</v>
      </c>
      <c r="N359" s="1">
        <f t="shared" si="95"/>
        <v>4779900</v>
      </c>
      <c r="O359" s="1">
        <f t="shared" si="95"/>
        <v>0</v>
      </c>
      <c r="P359" s="1">
        <f t="shared" si="95"/>
        <v>0</v>
      </c>
      <c r="Q359" s="1">
        <f t="shared" si="95"/>
        <v>1194.72</v>
      </c>
      <c r="R359" s="1">
        <f t="shared" si="95"/>
        <v>3112245.6</v>
      </c>
      <c r="S359" s="1">
        <f t="shared" si="95"/>
        <v>0</v>
      </c>
      <c r="T359" s="1">
        <f t="shared" si="95"/>
        <v>0</v>
      </c>
      <c r="U359" s="1">
        <f t="shared" si="95"/>
        <v>400000</v>
      </c>
    </row>
    <row r="360" spans="1:21" ht="21.95" customHeight="1">
      <c r="A360" s="19" t="s">
        <v>956</v>
      </c>
      <c r="B360" s="32" t="s">
        <v>20</v>
      </c>
      <c r="C360" s="1">
        <f t="shared" si="93"/>
        <v>3587855.6</v>
      </c>
      <c r="D360" s="21">
        <f t="shared" ref="D360:D361" si="96">SUM(E360:J360)</f>
        <v>635670</v>
      </c>
      <c r="E360" s="21">
        <f>350*605.4</f>
        <v>211890</v>
      </c>
      <c r="F360" s="21">
        <f>800*0</f>
        <v>0</v>
      </c>
      <c r="G360" s="21">
        <f>300*605.4</f>
        <v>181620</v>
      </c>
      <c r="H360" s="21">
        <f>500*0</f>
        <v>0</v>
      </c>
      <c r="I360" s="21">
        <f>400*605.4</f>
        <v>242160</v>
      </c>
      <c r="J360" s="21">
        <f>350*0</f>
        <v>0</v>
      </c>
      <c r="K360" s="40">
        <v>0</v>
      </c>
      <c r="L360" s="21">
        <v>0</v>
      </c>
      <c r="M360" s="21">
        <v>374</v>
      </c>
      <c r="N360" s="21">
        <v>1234200</v>
      </c>
      <c r="O360" s="21">
        <v>0</v>
      </c>
      <c r="P360" s="21">
        <v>0</v>
      </c>
      <c r="Q360" s="21">
        <v>582.72</v>
      </c>
      <c r="R360" s="21">
        <v>1517985.6</v>
      </c>
      <c r="S360" s="21">
        <v>0</v>
      </c>
      <c r="T360" s="21">
        <v>0</v>
      </c>
      <c r="U360" s="21">
        <v>200000</v>
      </c>
    </row>
    <row r="361" spans="1:21" ht="21.95" customHeight="1">
      <c r="A361" s="19" t="s">
        <v>957</v>
      </c>
      <c r="B361" s="33" t="s">
        <v>23</v>
      </c>
      <c r="C361" s="1">
        <f t="shared" si="93"/>
        <v>6131240</v>
      </c>
      <c r="D361" s="21">
        <f t="shared" si="96"/>
        <v>791280</v>
      </c>
      <c r="E361" s="21">
        <f>350*753.6</f>
        <v>263760</v>
      </c>
      <c r="F361" s="21">
        <f>800*0</f>
        <v>0</v>
      </c>
      <c r="G361" s="21">
        <f>300*753.6</f>
        <v>226080</v>
      </c>
      <c r="H361" s="21">
        <f>500*0</f>
        <v>0</v>
      </c>
      <c r="I361" s="21">
        <f>400*753.6</f>
        <v>301440</v>
      </c>
      <c r="J361" s="21">
        <f>350*0</f>
        <v>0</v>
      </c>
      <c r="K361" s="40">
        <v>0</v>
      </c>
      <c r="L361" s="21">
        <v>0</v>
      </c>
      <c r="M361" s="21">
        <v>669</v>
      </c>
      <c r="N361" s="21">
        <v>3545700</v>
      </c>
      <c r="O361" s="21">
        <v>0</v>
      </c>
      <c r="P361" s="21">
        <v>0</v>
      </c>
      <c r="Q361" s="21">
        <v>612</v>
      </c>
      <c r="R361" s="21">
        <v>1594260</v>
      </c>
      <c r="S361" s="21">
        <v>0</v>
      </c>
      <c r="T361" s="21">
        <v>0</v>
      </c>
      <c r="U361" s="21">
        <v>200000</v>
      </c>
    </row>
    <row r="362" spans="1:21" ht="45" customHeight="1">
      <c r="A362" s="55" t="s">
        <v>0</v>
      </c>
      <c r="B362" s="55"/>
      <c r="C362" s="1">
        <f t="shared" si="93"/>
        <v>126839833.94</v>
      </c>
      <c r="D362" s="1">
        <f t="shared" ref="D362:U362" si="97">SUM(D363:D382)</f>
        <v>20801965</v>
      </c>
      <c r="E362" s="1">
        <f t="shared" si="97"/>
        <v>3098165</v>
      </c>
      <c r="F362" s="1">
        <f t="shared" si="97"/>
        <v>7081520</v>
      </c>
      <c r="G362" s="1">
        <f t="shared" si="97"/>
        <v>2655570</v>
      </c>
      <c r="H362" s="1">
        <f t="shared" si="97"/>
        <v>4425950</v>
      </c>
      <c r="I362" s="1">
        <f t="shared" si="97"/>
        <v>3540760</v>
      </c>
      <c r="J362" s="1">
        <f t="shared" si="97"/>
        <v>0</v>
      </c>
      <c r="K362" s="42">
        <f t="shared" si="97"/>
        <v>4</v>
      </c>
      <c r="L362" s="1">
        <f t="shared" si="97"/>
        <v>8600000</v>
      </c>
      <c r="M362" s="1">
        <f t="shared" si="97"/>
        <v>14056.850000000002</v>
      </c>
      <c r="N362" s="1">
        <f t="shared" si="97"/>
        <v>60328665</v>
      </c>
      <c r="O362" s="1">
        <f t="shared" si="97"/>
        <v>383.4</v>
      </c>
      <c r="P362" s="1">
        <f t="shared" si="97"/>
        <v>1195680</v>
      </c>
      <c r="Q362" s="1">
        <f t="shared" si="97"/>
        <v>12193.7</v>
      </c>
      <c r="R362" s="1">
        <f t="shared" si="97"/>
        <v>31764588.5</v>
      </c>
      <c r="S362" s="1">
        <f t="shared" si="97"/>
        <v>0</v>
      </c>
      <c r="T362" s="1">
        <f t="shared" si="97"/>
        <v>0</v>
      </c>
      <c r="U362" s="1">
        <f t="shared" si="97"/>
        <v>4148935.44</v>
      </c>
    </row>
    <row r="363" spans="1:21" ht="23.1" customHeight="1">
      <c r="A363" s="19" t="s">
        <v>958</v>
      </c>
      <c r="B363" s="22" t="s">
        <v>40</v>
      </c>
      <c r="C363" s="1">
        <f t="shared" si="93"/>
        <v>3843750</v>
      </c>
      <c r="D363" s="21">
        <f t="shared" ref="D363:D382" si="98">SUM(E363:J363)</f>
        <v>0</v>
      </c>
      <c r="E363" s="21">
        <v>0</v>
      </c>
      <c r="F363" s="21">
        <v>0</v>
      </c>
      <c r="G363" s="21">
        <v>0</v>
      </c>
      <c r="H363" s="21">
        <v>0</v>
      </c>
      <c r="I363" s="21">
        <v>0</v>
      </c>
      <c r="J363" s="21">
        <v>0</v>
      </c>
      <c r="K363" s="40">
        <v>0</v>
      </c>
      <c r="L363" s="21">
        <v>0</v>
      </c>
      <c r="M363" s="21">
        <v>687.5</v>
      </c>
      <c r="N363" s="23">
        <v>3643750</v>
      </c>
      <c r="O363" s="21">
        <v>0</v>
      </c>
      <c r="P363" s="21">
        <v>0</v>
      </c>
      <c r="Q363" s="21">
        <v>0</v>
      </c>
      <c r="R363" s="21">
        <v>0</v>
      </c>
      <c r="S363" s="21">
        <v>0</v>
      </c>
      <c r="T363" s="21">
        <v>0</v>
      </c>
      <c r="U363" s="21">
        <v>200000</v>
      </c>
    </row>
    <row r="364" spans="1:21" ht="23.1" customHeight="1">
      <c r="A364" s="19" t="s">
        <v>959</v>
      </c>
      <c r="B364" s="24" t="s">
        <v>46</v>
      </c>
      <c r="C364" s="1">
        <f t="shared" si="93"/>
        <v>4605000</v>
      </c>
      <c r="D364" s="21">
        <f t="shared" si="98"/>
        <v>0</v>
      </c>
      <c r="E364" s="21">
        <v>0</v>
      </c>
      <c r="F364" s="21">
        <v>0</v>
      </c>
      <c r="G364" s="21">
        <v>0</v>
      </c>
      <c r="H364" s="21">
        <v>0</v>
      </c>
      <c r="I364" s="21">
        <v>0</v>
      </c>
      <c r="J364" s="21">
        <v>0</v>
      </c>
      <c r="K364" s="40">
        <v>0</v>
      </c>
      <c r="L364" s="21">
        <v>0</v>
      </c>
      <c r="M364" s="21">
        <v>850</v>
      </c>
      <c r="N364" s="23">
        <f>M364*5300</f>
        <v>4505000</v>
      </c>
      <c r="O364" s="21">
        <v>0</v>
      </c>
      <c r="P364" s="21">
        <v>0</v>
      </c>
      <c r="Q364" s="21">
        <v>0</v>
      </c>
      <c r="R364" s="21">
        <v>0</v>
      </c>
      <c r="S364" s="21">
        <v>0</v>
      </c>
      <c r="T364" s="21">
        <v>0</v>
      </c>
      <c r="U364" s="21">
        <v>100000</v>
      </c>
    </row>
    <row r="365" spans="1:21" ht="23.1" customHeight="1">
      <c r="A365" s="19" t="s">
        <v>960</v>
      </c>
      <c r="B365" s="24" t="s">
        <v>43</v>
      </c>
      <c r="C365" s="1">
        <f t="shared" si="93"/>
        <v>2894944</v>
      </c>
      <c r="D365" s="21">
        <f t="shared" si="98"/>
        <v>0</v>
      </c>
      <c r="E365" s="21">
        <v>0</v>
      </c>
      <c r="F365" s="21">
        <v>0</v>
      </c>
      <c r="G365" s="21">
        <v>0</v>
      </c>
      <c r="H365" s="21">
        <v>0</v>
      </c>
      <c r="I365" s="21">
        <v>0</v>
      </c>
      <c r="J365" s="21">
        <v>0</v>
      </c>
      <c r="K365" s="40">
        <v>0</v>
      </c>
      <c r="L365" s="21">
        <v>0</v>
      </c>
      <c r="M365" s="21">
        <v>508.48</v>
      </c>
      <c r="N365" s="23">
        <v>2694944</v>
      </c>
      <c r="O365" s="21">
        <v>0</v>
      </c>
      <c r="P365" s="21">
        <v>0</v>
      </c>
      <c r="Q365" s="21">
        <v>0</v>
      </c>
      <c r="R365" s="21">
        <v>0</v>
      </c>
      <c r="S365" s="21">
        <v>0</v>
      </c>
      <c r="T365" s="21">
        <v>0</v>
      </c>
      <c r="U365" s="21">
        <v>200000</v>
      </c>
    </row>
    <row r="366" spans="1:21" ht="23.1" customHeight="1">
      <c r="A366" s="19" t="s">
        <v>961</v>
      </c>
      <c r="B366" s="24" t="s">
        <v>17</v>
      </c>
      <c r="C366" s="1">
        <f t="shared" si="93"/>
        <v>14055090.439999999</v>
      </c>
      <c r="D366" s="21">
        <f t="shared" si="98"/>
        <v>4928655.0000000009</v>
      </c>
      <c r="E366" s="21">
        <f>350*2097.3</f>
        <v>734055.00000000012</v>
      </c>
      <c r="F366" s="21">
        <f>800*2097.3</f>
        <v>1677840.0000000002</v>
      </c>
      <c r="G366" s="21">
        <f>300*[1]Прилож!$H$35</f>
        <v>629190</v>
      </c>
      <c r="H366" s="21">
        <f>500*[1]Прилож!$H$35</f>
        <v>1048650</v>
      </c>
      <c r="I366" s="21">
        <f>400*[1]Прилож!$H$35</f>
        <v>838920.00000000012</v>
      </c>
      <c r="J366" s="21">
        <f>350*0</f>
        <v>0</v>
      </c>
      <c r="K366" s="40">
        <v>0</v>
      </c>
      <c r="L366" s="21">
        <v>0</v>
      </c>
      <c r="M366" s="21">
        <v>1315</v>
      </c>
      <c r="N366" s="23">
        <v>4770000</v>
      </c>
      <c r="O366" s="21">
        <v>0</v>
      </c>
      <c r="P366" s="21">
        <v>0</v>
      </c>
      <c r="Q366" s="21">
        <v>1500</v>
      </c>
      <c r="R366" s="21">
        <v>3907500</v>
      </c>
      <c r="S366" s="21">
        <v>0</v>
      </c>
      <c r="T366" s="21">
        <v>0</v>
      </c>
      <c r="U366" s="21">
        <v>448935.44</v>
      </c>
    </row>
    <row r="367" spans="1:21" ht="23.1" customHeight="1">
      <c r="A367" s="19" t="s">
        <v>962</v>
      </c>
      <c r="B367" s="24" t="s">
        <v>49</v>
      </c>
      <c r="C367" s="1">
        <f t="shared" si="93"/>
        <v>1558390</v>
      </c>
      <c r="D367" s="21">
        <f t="shared" si="98"/>
        <v>0</v>
      </c>
      <c r="E367" s="21">
        <v>0</v>
      </c>
      <c r="F367" s="21">
        <v>0</v>
      </c>
      <c r="G367" s="21">
        <v>0</v>
      </c>
      <c r="H367" s="21">
        <v>0</v>
      </c>
      <c r="I367" s="21">
        <v>0</v>
      </c>
      <c r="J367" s="21">
        <v>0</v>
      </c>
      <c r="K367" s="40">
        <v>0</v>
      </c>
      <c r="L367" s="21">
        <v>0</v>
      </c>
      <c r="M367" s="21">
        <v>256.3</v>
      </c>
      <c r="N367" s="23">
        <v>1358390</v>
      </c>
      <c r="O367" s="21">
        <v>0</v>
      </c>
      <c r="P367" s="21">
        <v>0</v>
      </c>
      <c r="Q367" s="21">
        <v>0</v>
      </c>
      <c r="R367" s="21">
        <v>0</v>
      </c>
      <c r="S367" s="21">
        <v>0</v>
      </c>
      <c r="T367" s="21">
        <v>0</v>
      </c>
      <c r="U367" s="21">
        <v>200000</v>
      </c>
    </row>
    <row r="368" spans="1:21" ht="23.1" customHeight="1">
      <c r="A368" s="19" t="s">
        <v>963</v>
      </c>
      <c r="B368" s="24" t="s">
        <v>32</v>
      </c>
      <c r="C368" s="1">
        <f t="shared" si="93"/>
        <v>9778869.5</v>
      </c>
      <c r="D368" s="21">
        <f t="shared" si="98"/>
        <v>2341540</v>
      </c>
      <c r="E368" s="21">
        <f>350*[1]Прилож!$H$39</f>
        <v>348740</v>
      </c>
      <c r="F368" s="21">
        <f>800*[1]Прилож!$H$39</f>
        <v>797120</v>
      </c>
      <c r="G368" s="21">
        <f>300*[1]Прилож!$H$39</f>
        <v>298920</v>
      </c>
      <c r="H368" s="21">
        <f>500*[1]Прилож!$H$39</f>
        <v>498200</v>
      </c>
      <c r="I368" s="21">
        <f>400*[1]Прилож!$H$39</f>
        <v>398560</v>
      </c>
      <c r="J368" s="21">
        <f>350*0</f>
        <v>0</v>
      </c>
      <c r="K368" s="40">
        <v>0</v>
      </c>
      <c r="L368" s="21">
        <v>0</v>
      </c>
      <c r="M368" s="21">
        <v>774.3</v>
      </c>
      <c r="N368" s="23">
        <v>4103790</v>
      </c>
      <c r="O368" s="21">
        <v>383.4</v>
      </c>
      <c r="P368" s="21">
        <v>1195680</v>
      </c>
      <c r="Q368" s="21">
        <v>743.9</v>
      </c>
      <c r="R368" s="21">
        <v>1937859.5</v>
      </c>
      <c r="S368" s="21">
        <v>0</v>
      </c>
      <c r="T368" s="21">
        <v>0</v>
      </c>
      <c r="U368" s="21">
        <v>200000</v>
      </c>
    </row>
    <row r="369" spans="1:22" ht="23.1" customHeight="1">
      <c r="A369" s="19" t="s">
        <v>964</v>
      </c>
      <c r="B369" s="24" t="s">
        <v>53</v>
      </c>
      <c r="C369" s="1">
        <f t="shared" si="93"/>
        <v>6645860</v>
      </c>
      <c r="D369" s="21">
        <f t="shared" si="98"/>
        <v>0</v>
      </c>
      <c r="E369" s="21">
        <v>0</v>
      </c>
      <c r="F369" s="21">
        <v>0</v>
      </c>
      <c r="G369" s="21">
        <v>0</v>
      </c>
      <c r="H369" s="21">
        <v>0</v>
      </c>
      <c r="I369" s="21">
        <v>0</v>
      </c>
      <c r="J369" s="21">
        <v>0</v>
      </c>
      <c r="K369" s="40">
        <v>0</v>
      </c>
      <c r="L369" s="21">
        <v>0</v>
      </c>
      <c r="M369" s="21">
        <v>1216.2</v>
      </c>
      <c r="N369" s="23">
        <v>6445860</v>
      </c>
      <c r="O369" s="21">
        <v>0</v>
      </c>
      <c r="P369" s="21">
        <v>0</v>
      </c>
      <c r="Q369" s="21">
        <v>0</v>
      </c>
      <c r="R369" s="21">
        <v>0</v>
      </c>
      <c r="S369" s="21">
        <v>0</v>
      </c>
      <c r="T369" s="21">
        <v>0</v>
      </c>
      <c r="U369" s="21">
        <v>200000</v>
      </c>
    </row>
    <row r="370" spans="1:22" ht="23.1" customHeight="1">
      <c r="A370" s="19" t="s">
        <v>965</v>
      </c>
      <c r="B370" s="24" t="s">
        <v>54</v>
      </c>
      <c r="C370" s="1">
        <f t="shared" si="93"/>
        <v>2255870</v>
      </c>
      <c r="D370" s="21">
        <f t="shared" si="98"/>
        <v>0</v>
      </c>
      <c r="E370" s="21">
        <v>0</v>
      </c>
      <c r="F370" s="21">
        <v>0</v>
      </c>
      <c r="G370" s="21">
        <v>0</v>
      </c>
      <c r="H370" s="21">
        <v>0</v>
      </c>
      <c r="I370" s="21">
        <v>0</v>
      </c>
      <c r="J370" s="21">
        <v>0</v>
      </c>
      <c r="K370" s="40">
        <v>0</v>
      </c>
      <c r="L370" s="21">
        <v>0</v>
      </c>
      <c r="M370" s="21">
        <v>387.9</v>
      </c>
      <c r="N370" s="23">
        <v>2055870</v>
      </c>
      <c r="O370" s="21">
        <v>0</v>
      </c>
      <c r="P370" s="21">
        <v>0</v>
      </c>
      <c r="Q370" s="21">
        <v>0</v>
      </c>
      <c r="R370" s="21">
        <v>0</v>
      </c>
      <c r="S370" s="21">
        <v>0</v>
      </c>
      <c r="T370" s="21">
        <v>0</v>
      </c>
      <c r="U370" s="21">
        <v>200000</v>
      </c>
    </row>
    <row r="371" spans="1:22" ht="23.1" customHeight="1">
      <c r="A371" s="19" t="s">
        <v>966</v>
      </c>
      <c r="B371" s="22" t="s">
        <v>60</v>
      </c>
      <c r="C371" s="1">
        <f t="shared" si="93"/>
        <v>3423990</v>
      </c>
      <c r="D371" s="21">
        <f t="shared" si="98"/>
        <v>0</v>
      </c>
      <c r="E371" s="21">
        <v>0</v>
      </c>
      <c r="F371" s="21">
        <v>0</v>
      </c>
      <c r="G371" s="21">
        <v>0</v>
      </c>
      <c r="H371" s="21">
        <v>0</v>
      </c>
      <c r="I371" s="21">
        <v>0</v>
      </c>
      <c r="J371" s="21">
        <v>0</v>
      </c>
      <c r="K371" s="40">
        <v>0</v>
      </c>
      <c r="L371" s="21">
        <v>0</v>
      </c>
      <c r="M371" s="21">
        <v>608.29999999999995</v>
      </c>
      <c r="N371" s="23">
        <v>3223990</v>
      </c>
      <c r="O371" s="21">
        <v>0</v>
      </c>
      <c r="P371" s="21">
        <v>0</v>
      </c>
      <c r="Q371" s="21">
        <v>0</v>
      </c>
      <c r="R371" s="21">
        <v>0</v>
      </c>
      <c r="S371" s="21">
        <v>0</v>
      </c>
      <c r="T371" s="21">
        <v>0</v>
      </c>
      <c r="U371" s="21">
        <v>200000</v>
      </c>
    </row>
    <row r="372" spans="1:22" ht="23.1" customHeight="1">
      <c r="A372" s="19" t="s">
        <v>967</v>
      </c>
      <c r="B372" s="24" t="s">
        <v>33</v>
      </c>
      <c r="C372" s="1">
        <f t="shared" si="93"/>
        <v>3230060</v>
      </c>
      <c r="D372" s="21">
        <f t="shared" si="98"/>
        <v>0</v>
      </c>
      <c r="E372" s="21">
        <v>0</v>
      </c>
      <c r="F372" s="21">
        <v>0</v>
      </c>
      <c r="G372" s="21">
        <v>0</v>
      </c>
      <c r="H372" s="21">
        <v>0</v>
      </c>
      <c r="I372" s="21">
        <v>0</v>
      </c>
      <c r="J372" s="21">
        <v>0</v>
      </c>
      <c r="K372" s="40">
        <v>0</v>
      </c>
      <c r="L372" s="21">
        <v>0</v>
      </c>
      <c r="M372" s="21">
        <v>918.2</v>
      </c>
      <c r="N372" s="23">
        <v>3030060</v>
      </c>
      <c r="O372" s="21">
        <v>0</v>
      </c>
      <c r="P372" s="21">
        <v>0</v>
      </c>
      <c r="Q372" s="21">
        <v>0</v>
      </c>
      <c r="R372" s="21">
        <v>0</v>
      </c>
      <c r="S372" s="21">
        <v>0</v>
      </c>
      <c r="T372" s="21">
        <v>0</v>
      </c>
      <c r="U372" s="21">
        <v>200000</v>
      </c>
    </row>
    <row r="373" spans="1:22" ht="23.1" customHeight="1">
      <c r="A373" s="19" t="s">
        <v>968</v>
      </c>
      <c r="B373" s="24" t="s">
        <v>34</v>
      </c>
      <c r="C373" s="1">
        <f t="shared" si="93"/>
        <v>1303190</v>
      </c>
      <c r="D373" s="21">
        <f t="shared" si="98"/>
        <v>0</v>
      </c>
      <c r="E373" s="21">
        <v>0</v>
      </c>
      <c r="F373" s="21">
        <v>0</v>
      </c>
      <c r="G373" s="21">
        <v>0</v>
      </c>
      <c r="H373" s="21">
        <v>0</v>
      </c>
      <c r="I373" s="21">
        <v>0</v>
      </c>
      <c r="J373" s="21">
        <v>0</v>
      </c>
      <c r="K373" s="40">
        <v>0</v>
      </c>
      <c r="L373" s="21">
        <v>0</v>
      </c>
      <c r="M373" s="21">
        <v>334.3</v>
      </c>
      <c r="N373" s="23">
        <v>1103190</v>
      </c>
      <c r="O373" s="21">
        <v>0</v>
      </c>
      <c r="P373" s="21">
        <v>0</v>
      </c>
      <c r="Q373" s="21">
        <v>0</v>
      </c>
      <c r="R373" s="21">
        <v>0</v>
      </c>
      <c r="S373" s="21">
        <v>0</v>
      </c>
      <c r="T373" s="21">
        <v>0</v>
      </c>
      <c r="U373" s="21">
        <v>200000</v>
      </c>
    </row>
    <row r="374" spans="1:22" ht="23.1" customHeight="1">
      <c r="A374" s="19" t="s">
        <v>969</v>
      </c>
      <c r="B374" s="24" t="s">
        <v>62</v>
      </c>
      <c r="C374" s="1">
        <f t="shared" si="93"/>
        <v>1843530</v>
      </c>
      <c r="D374" s="21">
        <f t="shared" si="98"/>
        <v>0</v>
      </c>
      <c r="E374" s="21">
        <v>0</v>
      </c>
      <c r="F374" s="21">
        <v>0</v>
      </c>
      <c r="G374" s="21">
        <v>0</v>
      </c>
      <c r="H374" s="21">
        <v>0</v>
      </c>
      <c r="I374" s="21">
        <v>0</v>
      </c>
      <c r="J374" s="21">
        <v>0</v>
      </c>
      <c r="K374" s="40">
        <v>0</v>
      </c>
      <c r="L374" s="21">
        <v>0</v>
      </c>
      <c r="M374" s="21">
        <v>310.10000000000002</v>
      </c>
      <c r="N374" s="23">
        <v>1643530</v>
      </c>
      <c r="O374" s="21">
        <v>0</v>
      </c>
      <c r="P374" s="21">
        <v>0</v>
      </c>
      <c r="Q374" s="21">
        <v>0</v>
      </c>
      <c r="R374" s="21">
        <v>0</v>
      </c>
      <c r="S374" s="21">
        <v>0</v>
      </c>
      <c r="T374" s="21">
        <v>0</v>
      </c>
      <c r="U374" s="21">
        <v>200000</v>
      </c>
    </row>
    <row r="375" spans="1:22" ht="23.1" customHeight="1">
      <c r="A375" s="19" t="s">
        <v>970</v>
      </c>
      <c r="B375" s="24" t="s">
        <v>63</v>
      </c>
      <c r="C375" s="1">
        <f t="shared" si="93"/>
        <v>5294360</v>
      </c>
      <c r="D375" s="21">
        <f t="shared" si="98"/>
        <v>0</v>
      </c>
      <c r="E375" s="21">
        <v>0</v>
      </c>
      <c r="F375" s="21">
        <v>0</v>
      </c>
      <c r="G375" s="21">
        <v>0</v>
      </c>
      <c r="H375" s="21">
        <v>0</v>
      </c>
      <c r="I375" s="21">
        <v>0</v>
      </c>
      <c r="J375" s="21">
        <v>0</v>
      </c>
      <c r="K375" s="40">
        <v>0</v>
      </c>
      <c r="L375" s="21">
        <v>0</v>
      </c>
      <c r="M375" s="21">
        <v>961.2</v>
      </c>
      <c r="N375" s="23">
        <v>5094360</v>
      </c>
      <c r="O375" s="21">
        <v>0</v>
      </c>
      <c r="P375" s="21">
        <v>0</v>
      </c>
      <c r="Q375" s="21">
        <v>0</v>
      </c>
      <c r="R375" s="21">
        <v>0</v>
      </c>
      <c r="S375" s="21">
        <v>0</v>
      </c>
      <c r="T375" s="21">
        <v>0</v>
      </c>
      <c r="U375" s="21">
        <v>200000</v>
      </c>
    </row>
    <row r="376" spans="1:22" ht="23.1" customHeight="1">
      <c r="A376" s="19" t="s">
        <v>971</v>
      </c>
      <c r="B376" s="24" t="s">
        <v>66</v>
      </c>
      <c r="C376" s="1">
        <f t="shared" si="93"/>
        <v>1233500</v>
      </c>
      <c r="D376" s="21">
        <f t="shared" si="98"/>
        <v>0</v>
      </c>
      <c r="E376" s="21">
        <v>0</v>
      </c>
      <c r="F376" s="21">
        <v>0</v>
      </c>
      <c r="G376" s="21">
        <v>0</v>
      </c>
      <c r="H376" s="21">
        <v>0</v>
      </c>
      <c r="I376" s="21">
        <v>0</v>
      </c>
      <c r="J376" s="21">
        <v>0</v>
      </c>
      <c r="K376" s="40">
        <v>0</v>
      </c>
      <c r="L376" s="21">
        <v>0</v>
      </c>
      <c r="M376" s="21">
        <v>195</v>
      </c>
      <c r="N376" s="23">
        <v>1033500</v>
      </c>
      <c r="O376" s="21">
        <v>0</v>
      </c>
      <c r="P376" s="21">
        <v>0</v>
      </c>
      <c r="Q376" s="21">
        <v>0</v>
      </c>
      <c r="R376" s="21">
        <v>0</v>
      </c>
      <c r="S376" s="21">
        <v>0</v>
      </c>
      <c r="T376" s="21">
        <v>0</v>
      </c>
      <c r="U376" s="21">
        <v>200000</v>
      </c>
    </row>
    <row r="377" spans="1:22" ht="23.1" customHeight="1">
      <c r="A377" s="19" t="s">
        <v>972</v>
      </c>
      <c r="B377" s="24" t="s">
        <v>67</v>
      </c>
      <c r="C377" s="1">
        <f t="shared" si="93"/>
        <v>11692620</v>
      </c>
      <c r="D377" s="21">
        <f t="shared" si="98"/>
        <v>0</v>
      </c>
      <c r="E377" s="21">
        <v>0</v>
      </c>
      <c r="F377" s="21">
        <v>0</v>
      </c>
      <c r="G377" s="21">
        <v>0</v>
      </c>
      <c r="H377" s="21">
        <v>0</v>
      </c>
      <c r="I377" s="21">
        <v>0</v>
      </c>
      <c r="J377" s="21">
        <v>0</v>
      </c>
      <c r="K377" s="40">
        <v>0</v>
      </c>
      <c r="L377" s="21">
        <v>0</v>
      </c>
      <c r="M377" s="21">
        <v>1206</v>
      </c>
      <c r="N377" s="23">
        <v>3979800</v>
      </c>
      <c r="O377" s="21">
        <v>0</v>
      </c>
      <c r="P377" s="21">
        <v>0</v>
      </c>
      <c r="Q377" s="21">
        <v>2884</v>
      </c>
      <c r="R377" s="21">
        <v>7512820</v>
      </c>
      <c r="S377" s="21">
        <v>0</v>
      </c>
      <c r="T377" s="21">
        <v>0</v>
      </c>
      <c r="U377" s="21">
        <v>200000</v>
      </c>
    </row>
    <row r="378" spans="1:22" ht="23.1" customHeight="1">
      <c r="A378" s="19" t="s">
        <v>973</v>
      </c>
      <c r="B378" s="24" t="s">
        <v>1342</v>
      </c>
      <c r="C378" s="1">
        <f t="shared" si="93"/>
        <v>8941071</v>
      </c>
      <c r="D378" s="21">
        <f t="shared" si="98"/>
        <v>0</v>
      </c>
      <c r="E378" s="21">
        <v>0</v>
      </c>
      <c r="F378" s="21">
        <v>0</v>
      </c>
      <c r="G378" s="21">
        <v>0</v>
      </c>
      <c r="H378" s="21">
        <v>0</v>
      </c>
      <c r="I378" s="21">
        <v>0</v>
      </c>
      <c r="J378" s="21">
        <v>0</v>
      </c>
      <c r="K378" s="40">
        <v>0</v>
      </c>
      <c r="L378" s="21">
        <v>0</v>
      </c>
      <c r="M378" s="21">
        <v>1006.87</v>
      </c>
      <c r="N378" s="23">
        <v>3322671</v>
      </c>
      <c r="O378" s="21">
        <v>0</v>
      </c>
      <c r="P378" s="21">
        <v>0</v>
      </c>
      <c r="Q378" s="21">
        <v>2080</v>
      </c>
      <c r="R378" s="21">
        <v>5418400</v>
      </c>
      <c r="S378" s="21">
        <v>0</v>
      </c>
      <c r="T378" s="21">
        <v>0</v>
      </c>
      <c r="U378" s="21">
        <v>200000</v>
      </c>
    </row>
    <row r="379" spans="1:22" ht="23.1" customHeight="1">
      <c r="A379" s="19" t="s">
        <v>974</v>
      </c>
      <c r="B379" s="22" t="s">
        <v>36</v>
      </c>
      <c r="C379" s="1">
        <f t="shared" si="93"/>
        <v>4279130</v>
      </c>
      <c r="D379" s="21">
        <f t="shared" si="98"/>
        <v>0</v>
      </c>
      <c r="E379" s="21">
        <v>0</v>
      </c>
      <c r="F379" s="21">
        <v>0</v>
      </c>
      <c r="G379" s="21">
        <v>0</v>
      </c>
      <c r="H379" s="21">
        <v>0</v>
      </c>
      <c r="I379" s="21">
        <v>0</v>
      </c>
      <c r="J379" s="21">
        <v>0</v>
      </c>
      <c r="K379" s="40">
        <v>0</v>
      </c>
      <c r="L379" s="21">
        <v>0</v>
      </c>
      <c r="M379" s="21">
        <v>1236.0999999999999</v>
      </c>
      <c r="N379" s="23">
        <v>4079130</v>
      </c>
      <c r="O379" s="21">
        <v>0</v>
      </c>
      <c r="P379" s="21">
        <v>0</v>
      </c>
      <c r="Q379" s="21">
        <v>0</v>
      </c>
      <c r="R379" s="21">
        <v>0</v>
      </c>
      <c r="S379" s="21">
        <v>0</v>
      </c>
      <c r="T379" s="21">
        <v>0</v>
      </c>
      <c r="U379" s="21">
        <v>200000</v>
      </c>
    </row>
    <row r="380" spans="1:22" ht="23.1" customHeight="1">
      <c r="A380" s="19" t="s">
        <v>975</v>
      </c>
      <c r="B380" s="24" t="s">
        <v>1524</v>
      </c>
      <c r="C380" s="1">
        <f t="shared" si="93"/>
        <v>8800000</v>
      </c>
      <c r="D380" s="21">
        <f t="shared" si="98"/>
        <v>0</v>
      </c>
      <c r="E380" s="21">
        <v>0</v>
      </c>
      <c r="F380" s="21">
        <v>0</v>
      </c>
      <c r="G380" s="21">
        <v>0</v>
      </c>
      <c r="H380" s="21">
        <v>0</v>
      </c>
      <c r="I380" s="21">
        <v>0</v>
      </c>
      <c r="J380" s="21">
        <v>0</v>
      </c>
      <c r="K380" s="40">
        <v>4</v>
      </c>
      <c r="L380" s="21">
        <f>K380*2150000</f>
        <v>8600000</v>
      </c>
      <c r="M380" s="21">
        <v>0</v>
      </c>
      <c r="N380" s="23">
        <v>0</v>
      </c>
      <c r="O380" s="21">
        <v>0</v>
      </c>
      <c r="P380" s="21">
        <v>0</v>
      </c>
      <c r="Q380" s="21">
        <v>0</v>
      </c>
      <c r="R380" s="21">
        <v>0</v>
      </c>
      <c r="S380" s="21">
        <v>0</v>
      </c>
      <c r="T380" s="21">
        <v>0</v>
      </c>
      <c r="U380" s="21">
        <v>200000</v>
      </c>
    </row>
    <row r="381" spans="1:22" ht="23.1" customHeight="1">
      <c r="A381" s="19" t="s">
        <v>976</v>
      </c>
      <c r="B381" s="22" t="s">
        <v>37</v>
      </c>
      <c r="C381" s="1">
        <f t="shared" si="93"/>
        <v>13188009</v>
      </c>
      <c r="D381" s="21">
        <f t="shared" si="98"/>
        <v>0</v>
      </c>
      <c r="E381" s="21">
        <v>0</v>
      </c>
      <c r="F381" s="21">
        <v>0</v>
      </c>
      <c r="G381" s="21">
        <v>0</v>
      </c>
      <c r="H381" s="21">
        <v>0</v>
      </c>
      <c r="I381" s="21">
        <v>0</v>
      </c>
      <c r="J381" s="21">
        <v>0</v>
      </c>
      <c r="K381" s="40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4985.8</v>
      </c>
      <c r="R381" s="21">
        <v>12988009</v>
      </c>
      <c r="S381" s="21">
        <v>0</v>
      </c>
      <c r="T381" s="21">
        <v>0</v>
      </c>
      <c r="U381" s="21">
        <v>200000</v>
      </c>
    </row>
    <row r="382" spans="1:22" ht="23.1" customHeight="1">
      <c r="A382" s="19" t="s">
        <v>977</v>
      </c>
      <c r="B382" s="22" t="s">
        <v>38</v>
      </c>
      <c r="C382" s="1">
        <f t="shared" si="93"/>
        <v>17972600</v>
      </c>
      <c r="D382" s="21">
        <f t="shared" si="98"/>
        <v>13531770</v>
      </c>
      <c r="E382" s="21">
        <f>350*[1]Прилож!$H$77</f>
        <v>2015370</v>
      </c>
      <c r="F382" s="21">
        <f>800*[1]Прилож!$H$77</f>
        <v>4606560</v>
      </c>
      <c r="G382" s="21">
        <f>300*[1]Прилож!$H$77</f>
        <v>1727460</v>
      </c>
      <c r="H382" s="21">
        <f>500*[1]Прилож!$H$77</f>
        <v>2879100</v>
      </c>
      <c r="I382" s="21">
        <f>400*[1]Прилож!$H$77</f>
        <v>2303280</v>
      </c>
      <c r="J382" s="21">
        <f>350*0</f>
        <v>0</v>
      </c>
      <c r="K382" s="40">
        <v>0</v>
      </c>
      <c r="L382" s="21">
        <v>0</v>
      </c>
      <c r="M382" s="21">
        <v>1285.0999999999999</v>
      </c>
      <c r="N382" s="23">
        <v>4240830</v>
      </c>
      <c r="O382" s="21">
        <v>0</v>
      </c>
      <c r="P382" s="21">
        <v>0</v>
      </c>
      <c r="Q382" s="21">
        <v>0</v>
      </c>
      <c r="R382" s="21">
        <v>0</v>
      </c>
      <c r="S382" s="21">
        <v>0</v>
      </c>
      <c r="T382" s="21">
        <v>0</v>
      </c>
      <c r="U382" s="21">
        <v>200000</v>
      </c>
    </row>
    <row r="383" spans="1:22" ht="42.95" customHeight="1">
      <c r="A383" s="55" t="s">
        <v>30</v>
      </c>
      <c r="B383" s="55"/>
      <c r="C383" s="1">
        <f t="shared" si="93"/>
        <v>1913600</v>
      </c>
      <c r="D383" s="1">
        <f t="shared" ref="D383:U383" si="99">SUM(D384)</f>
        <v>0</v>
      </c>
      <c r="E383" s="1">
        <f t="shared" si="99"/>
        <v>0</v>
      </c>
      <c r="F383" s="1">
        <f t="shared" si="99"/>
        <v>0</v>
      </c>
      <c r="G383" s="1">
        <f t="shared" si="99"/>
        <v>0</v>
      </c>
      <c r="H383" s="1">
        <f t="shared" si="99"/>
        <v>0</v>
      </c>
      <c r="I383" s="1">
        <f t="shared" si="99"/>
        <v>0</v>
      </c>
      <c r="J383" s="1">
        <f t="shared" si="99"/>
        <v>0</v>
      </c>
      <c r="K383" s="42">
        <f t="shared" si="99"/>
        <v>0</v>
      </c>
      <c r="L383" s="1">
        <f t="shared" si="99"/>
        <v>0</v>
      </c>
      <c r="M383" s="1">
        <f t="shared" si="99"/>
        <v>357</v>
      </c>
      <c r="N383" s="1">
        <f t="shared" si="99"/>
        <v>1713600</v>
      </c>
      <c r="O383" s="1">
        <f t="shared" si="99"/>
        <v>0</v>
      </c>
      <c r="P383" s="1">
        <f t="shared" si="99"/>
        <v>0</v>
      </c>
      <c r="Q383" s="1">
        <f t="shared" si="99"/>
        <v>0</v>
      </c>
      <c r="R383" s="1">
        <f t="shared" si="99"/>
        <v>0</v>
      </c>
      <c r="S383" s="1">
        <f t="shared" si="99"/>
        <v>0</v>
      </c>
      <c r="T383" s="1">
        <f t="shared" si="99"/>
        <v>0</v>
      </c>
      <c r="U383" s="1">
        <f t="shared" si="99"/>
        <v>200000</v>
      </c>
      <c r="V383" s="13">
        <f>C383</f>
        <v>1913600</v>
      </c>
    </row>
    <row r="384" spans="1:22" ht="21.95" customHeight="1">
      <c r="A384" s="19" t="s">
        <v>978</v>
      </c>
      <c r="B384" s="24" t="s">
        <v>31</v>
      </c>
      <c r="C384" s="1">
        <f t="shared" si="93"/>
        <v>1913600</v>
      </c>
      <c r="D384" s="21">
        <f t="shared" ref="D384" si="100">SUM(E384:J384)</f>
        <v>0</v>
      </c>
      <c r="E384" s="21">
        <v>0</v>
      </c>
      <c r="F384" s="21">
        <v>0</v>
      </c>
      <c r="G384" s="21">
        <v>0</v>
      </c>
      <c r="H384" s="21">
        <v>0</v>
      </c>
      <c r="I384" s="21">
        <v>0</v>
      </c>
      <c r="J384" s="21">
        <v>0</v>
      </c>
      <c r="K384" s="40">
        <v>0</v>
      </c>
      <c r="L384" s="21">
        <v>0</v>
      </c>
      <c r="M384" s="21">
        <v>357</v>
      </c>
      <c r="N384" s="23">
        <v>1713600</v>
      </c>
      <c r="O384" s="21">
        <v>0</v>
      </c>
      <c r="P384" s="21">
        <v>0</v>
      </c>
      <c r="Q384" s="21">
        <v>0</v>
      </c>
      <c r="R384" s="21">
        <v>0</v>
      </c>
      <c r="S384" s="21">
        <v>0</v>
      </c>
      <c r="T384" s="21">
        <v>0</v>
      </c>
      <c r="U384" s="21">
        <v>200000</v>
      </c>
    </row>
    <row r="385" spans="1:258" ht="42.95" customHeight="1">
      <c r="A385" s="55" t="s">
        <v>78</v>
      </c>
      <c r="B385" s="55"/>
      <c r="C385" s="1">
        <f t="shared" si="93"/>
        <v>8345922.5</v>
      </c>
      <c r="D385" s="1">
        <f t="shared" ref="D385:U385" si="101">SUM(D386:D389)</f>
        <v>502922.50000000006</v>
      </c>
      <c r="E385" s="1">
        <f t="shared" si="101"/>
        <v>95147.500000000015</v>
      </c>
      <c r="F385" s="1">
        <f t="shared" si="101"/>
        <v>217480.00000000003</v>
      </c>
      <c r="G385" s="1">
        <f t="shared" si="101"/>
        <v>81555</v>
      </c>
      <c r="H385" s="1">
        <f t="shared" si="101"/>
        <v>0</v>
      </c>
      <c r="I385" s="1">
        <f t="shared" si="101"/>
        <v>108740.00000000001</v>
      </c>
      <c r="J385" s="1">
        <f t="shared" si="101"/>
        <v>0</v>
      </c>
      <c r="K385" s="42">
        <f t="shared" si="101"/>
        <v>0</v>
      </c>
      <c r="L385" s="1">
        <f t="shared" si="101"/>
        <v>0</v>
      </c>
      <c r="M385" s="1">
        <f t="shared" si="101"/>
        <v>1310</v>
      </c>
      <c r="N385" s="1">
        <f t="shared" si="101"/>
        <v>6943000</v>
      </c>
      <c r="O385" s="1">
        <f t="shared" si="101"/>
        <v>0</v>
      </c>
      <c r="P385" s="1">
        <f t="shared" si="101"/>
        <v>0</v>
      </c>
      <c r="Q385" s="1">
        <f t="shared" si="101"/>
        <v>0</v>
      </c>
      <c r="R385" s="1">
        <f t="shared" si="101"/>
        <v>0</v>
      </c>
      <c r="S385" s="1">
        <f t="shared" si="101"/>
        <v>0</v>
      </c>
      <c r="T385" s="1">
        <f t="shared" si="101"/>
        <v>0</v>
      </c>
      <c r="U385" s="1">
        <f t="shared" si="101"/>
        <v>900000</v>
      </c>
    </row>
    <row r="386" spans="1:258" ht="23.1" customHeight="1">
      <c r="A386" s="17" t="s">
        <v>979</v>
      </c>
      <c r="B386" s="24" t="s">
        <v>1337</v>
      </c>
      <c r="C386" s="1">
        <f t="shared" si="93"/>
        <v>300000</v>
      </c>
      <c r="D386" s="21">
        <f t="shared" ref="D386:D389" si="102">SUM(E386:J386)</f>
        <v>0</v>
      </c>
      <c r="E386" s="21">
        <v>0</v>
      </c>
      <c r="F386" s="21">
        <v>0</v>
      </c>
      <c r="G386" s="21">
        <v>0</v>
      </c>
      <c r="H386" s="21">
        <v>0</v>
      </c>
      <c r="I386" s="21">
        <v>0</v>
      </c>
      <c r="J386" s="21">
        <v>0</v>
      </c>
      <c r="K386" s="5">
        <v>0</v>
      </c>
      <c r="L386" s="3">
        <v>0</v>
      </c>
      <c r="M386" s="3">
        <v>0</v>
      </c>
      <c r="N386" s="3">
        <v>0</v>
      </c>
      <c r="O386" s="3">
        <v>0</v>
      </c>
      <c r="P386" s="3">
        <v>0</v>
      </c>
      <c r="Q386" s="3">
        <v>0</v>
      </c>
      <c r="R386" s="3">
        <v>0</v>
      </c>
      <c r="S386" s="3">
        <v>0</v>
      </c>
      <c r="T386" s="3">
        <v>0</v>
      </c>
      <c r="U386" s="3">
        <v>300000</v>
      </c>
    </row>
    <row r="387" spans="1:258" ht="23.1" customHeight="1">
      <c r="A387" s="17" t="s">
        <v>980</v>
      </c>
      <c r="B387" s="24" t="s">
        <v>76</v>
      </c>
      <c r="C387" s="1">
        <f t="shared" si="93"/>
        <v>702922.5</v>
      </c>
      <c r="D387" s="21">
        <f t="shared" si="102"/>
        <v>502922.50000000006</v>
      </c>
      <c r="E387" s="21">
        <f>350*271.85</f>
        <v>95147.500000000015</v>
      </c>
      <c r="F387" s="21">
        <f>800*271.85</f>
        <v>217480.00000000003</v>
      </c>
      <c r="G387" s="21">
        <f>300*271.85</f>
        <v>81555</v>
      </c>
      <c r="H387" s="21">
        <f>500*0</f>
        <v>0</v>
      </c>
      <c r="I387" s="21">
        <f>400*271.85</f>
        <v>108740.00000000001</v>
      </c>
      <c r="J387" s="21">
        <f>350*0</f>
        <v>0</v>
      </c>
      <c r="K387" s="40">
        <v>0</v>
      </c>
      <c r="L387" s="21">
        <v>0</v>
      </c>
      <c r="M387" s="21">
        <v>0</v>
      </c>
      <c r="N387" s="23">
        <v>0</v>
      </c>
      <c r="O387" s="21">
        <v>0</v>
      </c>
      <c r="P387" s="21">
        <v>0</v>
      </c>
      <c r="Q387" s="21">
        <v>0</v>
      </c>
      <c r="R387" s="21">
        <v>0</v>
      </c>
      <c r="S387" s="21">
        <v>0</v>
      </c>
      <c r="T387" s="3">
        <v>0</v>
      </c>
      <c r="U387" s="21">
        <v>200000</v>
      </c>
    </row>
    <row r="388" spans="1:258" ht="23.1" customHeight="1">
      <c r="A388" s="17" t="s">
        <v>981</v>
      </c>
      <c r="B388" s="24" t="s">
        <v>1338</v>
      </c>
      <c r="C388" s="1">
        <f t="shared" si="93"/>
        <v>4599000</v>
      </c>
      <c r="D388" s="21">
        <f t="shared" si="102"/>
        <v>0</v>
      </c>
      <c r="E388" s="21">
        <v>0</v>
      </c>
      <c r="F388" s="21">
        <v>0</v>
      </c>
      <c r="G388" s="21">
        <v>0</v>
      </c>
      <c r="H388" s="21">
        <v>0</v>
      </c>
      <c r="I388" s="21">
        <v>0</v>
      </c>
      <c r="J388" s="21">
        <v>0</v>
      </c>
      <c r="K388" s="40">
        <v>0</v>
      </c>
      <c r="L388" s="21">
        <v>0</v>
      </c>
      <c r="M388" s="21">
        <v>830</v>
      </c>
      <c r="N388" s="23">
        <v>4399000</v>
      </c>
      <c r="O388" s="21">
        <v>0</v>
      </c>
      <c r="P388" s="21">
        <v>0</v>
      </c>
      <c r="Q388" s="21">
        <v>0</v>
      </c>
      <c r="R388" s="21">
        <v>0</v>
      </c>
      <c r="S388" s="21">
        <v>0</v>
      </c>
      <c r="T388" s="3">
        <v>0</v>
      </c>
      <c r="U388" s="21">
        <v>200000</v>
      </c>
    </row>
    <row r="389" spans="1:258" ht="23.1" customHeight="1">
      <c r="A389" s="17" t="s">
        <v>982</v>
      </c>
      <c r="B389" s="24" t="s">
        <v>1339</v>
      </c>
      <c r="C389" s="1">
        <f t="shared" si="93"/>
        <v>2744000</v>
      </c>
      <c r="D389" s="21">
        <f t="shared" si="102"/>
        <v>0</v>
      </c>
      <c r="E389" s="21">
        <v>0</v>
      </c>
      <c r="F389" s="21">
        <v>0</v>
      </c>
      <c r="G389" s="21">
        <v>0</v>
      </c>
      <c r="H389" s="21">
        <v>0</v>
      </c>
      <c r="I389" s="21">
        <v>0</v>
      </c>
      <c r="J389" s="21">
        <v>0</v>
      </c>
      <c r="K389" s="40">
        <v>0</v>
      </c>
      <c r="L389" s="21">
        <v>0</v>
      </c>
      <c r="M389" s="21">
        <v>480</v>
      </c>
      <c r="N389" s="23">
        <v>2544000</v>
      </c>
      <c r="O389" s="21">
        <v>0</v>
      </c>
      <c r="P389" s="21">
        <v>0</v>
      </c>
      <c r="Q389" s="21">
        <v>0</v>
      </c>
      <c r="R389" s="21">
        <v>0</v>
      </c>
      <c r="S389" s="21">
        <v>0</v>
      </c>
      <c r="T389" s="3">
        <v>0</v>
      </c>
      <c r="U389" s="21">
        <v>200000</v>
      </c>
    </row>
    <row r="390" spans="1:258" ht="42.95" customHeight="1">
      <c r="A390" s="55" t="s">
        <v>2</v>
      </c>
      <c r="B390" s="55"/>
      <c r="C390" s="1">
        <f t="shared" si="93"/>
        <v>10241835</v>
      </c>
      <c r="D390" s="1">
        <f t="shared" ref="D390:U390" si="103">SUM(D391:D393)</f>
        <v>847665</v>
      </c>
      <c r="E390" s="1">
        <f t="shared" si="103"/>
        <v>282555</v>
      </c>
      <c r="F390" s="1">
        <f t="shared" si="103"/>
        <v>0</v>
      </c>
      <c r="G390" s="1">
        <f t="shared" si="103"/>
        <v>242190</v>
      </c>
      <c r="H390" s="1">
        <f t="shared" si="103"/>
        <v>0</v>
      </c>
      <c r="I390" s="1">
        <f t="shared" si="103"/>
        <v>322920</v>
      </c>
      <c r="J390" s="1">
        <f t="shared" si="103"/>
        <v>0</v>
      </c>
      <c r="K390" s="42">
        <f t="shared" si="103"/>
        <v>0</v>
      </c>
      <c r="L390" s="1">
        <f t="shared" si="103"/>
        <v>0</v>
      </c>
      <c r="M390" s="1">
        <f t="shared" si="103"/>
        <v>1334.8</v>
      </c>
      <c r="N390" s="1">
        <f t="shared" si="103"/>
        <v>7074440</v>
      </c>
      <c r="O390" s="1">
        <f t="shared" si="103"/>
        <v>0</v>
      </c>
      <c r="P390" s="1">
        <f t="shared" si="103"/>
        <v>0</v>
      </c>
      <c r="Q390" s="1">
        <f t="shared" si="103"/>
        <v>626</v>
      </c>
      <c r="R390" s="1">
        <f t="shared" si="103"/>
        <v>1630730</v>
      </c>
      <c r="S390" s="1">
        <f t="shared" si="103"/>
        <v>189000</v>
      </c>
      <c r="T390" s="1">
        <f t="shared" si="103"/>
        <v>0</v>
      </c>
      <c r="U390" s="1">
        <f t="shared" si="103"/>
        <v>500000</v>
      </c>
    </row>
    <row r="391" spans="1:258" ht="23.1" customHeight="1">
      <c r="A391" s="19" t="s">
        <v>983</v>
      </c>
      <c r="B391" s="24" t="s">
        <v>81</v>
      </c>
      <c r="C391" s="1">
        <f t="shared" si="93"/>
        <v>5851995</v>
      </c>
      <c r="D391" s="21">
        <f t="shared" ref="D391:D393" si="104">SUM(E391:J391)</f>
        <v>847665</v>
      </c>
      <c r="E391" s="21">
        <f>350*807.3</f>
        <v>282555</v>
      </c>
      <c r="F391" s="21">
        <f>800*0</f>
        <v>0</v>
      </c>
      <c r="G391" s="21">
        <f>300*807.3</f>
        <v>242190</v>
      </c>
      <c r="H391" s="21">
        <f>500*0</f>
        <v>0</v>
      </c>
      <c r="I391" s="21">
        <f>400*807.3</f>
        <v>322920</v>
      </c>
      <c r="J391" s="21">
        <f>350*0</f>
        <v>0</v>
      </c>
      <c r="K391" s="40">
        <v>0</v>
      </c>
      <c r="L391" s="21">
        <v>0</v>
      </c>
      <c r="M391" s="3">
        <v>582</v>
      </c>
      <c r="N391" s="3">
        <v>3084600</v>
      </c>
      <c r="O391" s="21">
        <v>0</v>
      </c>
      <c r="P391" s="21">
        <v>0</v>
      </c>
      <c r="Q391" s="21">
        <v>626</v>
      </c>
      <c r="R391" s="21">
        <v>1630730</v>
      </c>
      <c r="S391" s="3">
        <v>189000</v>
      </c>
      <c r="T391" s="21">
        <v>0</v>
      </c>
      <c r="U391" s="21">
        <v>100000</v>
      </c>
    </row>
    <row r="392" spans="1:258" ht="23.1" customHeight="1">
      <c r="A392" s="19" t="s">
        <v>1950</v>
      </c>
      <c r="B392" s="24" t="s">
        <v>83</v>
      </c>
      <c r="C392" s="1">
        <f t="shared" si="93"/>
        <v>2194920</v>
      </c>
      <c r="D392" s="21">
        <f t="shared" si="104"/>
        <v>0</v>
      </c>
      <c r="E392" s="21">
        <v>0</v>
      </c>
      <c r="F392" s="21">
        <v>0</v>
      </c>
      <c r="G392" s="21">
        <v>0</v>
      </c>
      <c r="H392" s="21">
        <v>0</v>
      </c>
      <c r="I392" s="21">
        <v>0</v>
      </c>
      <c r="J392" s="21">
        <v>0</v>
      </c>
      <c r="K392" s="40">
        <v>0</v>
      </c>
      <c r="L392" s="21">
        <v>0</v>
      </c>
      <c r="M392" s="3">
        <v>376.4</v>
      </c>
      <c r="N392" s="3">
        <v>1994920</v>
      </c>
      <c r="O392" s="21">
        <v>0</v>
      </c>
      <c r="P392" s="21">
        <v>0</v>
      </c>
      <c r="Q392" s="21">
        <v>0</v>
      </c>
      <c r="R392" s="21">
        <v>0</v>
      </c>
      <c r="S392" s="21">
        <v>0</v>
      </c>
      <c r="T392" s="21">
        <v>0</v>
      </c>
      <c r="U392" s="3">
        <v>200000</v>
      </c>
    </row>
    <row r="393" spans="1:258" ht="23.1" customHeight="1">
      <c r="A393" s="19" t="s">
        <v>984</v>
      </c>
      <c r="B393" s="24" t="s">
        <v>84</v>
      </c>
      <c r="C393" s="1">
        <f t="shared" si="93"/>
        <v>2194920</v>
      </c>
      <c r="D393" s="21">
        <f t="shared" si="104"/>
        <v>0</v>
      </c>
      <c r="E393" s="21">
        <v>0</v>
      </c>
      <c r="F393" s="21">
        <v>0</v>
      </c>
      <c r="G393" s="21">
        <v>0</v>
      </c>
      <c r="H393" s="21">
        <v>0</v>
      </c>
      <c r="I393" s="21">
        <v>0</v>
      </c>
      <c r="J393" s="21">
        <v>0</v>
      </c>
      <c r="K393" s="40">
        <v>0</v>
      </c>
      <c r="L393" s="21">
        <v>0</v>
      </c>
      <c r="M393" s="3">
        <v>376.4</v>
      </c>
      <c r="N393" s="3">
        <v>1994920</v>
      </c>
      <c r="O393" s="21">
        <v>0</v>
      </c>
      <c r="P393" s="21">
        <v>0</v>
      </c>
      <c r="Q393" s="21">
        <v>0</v>
      </c>
      <c r="R393" s="21">
        <v>0</v>
      </c>
      <c r="S393" s="21">
        <v>0</v>
      </c>
      <c r="T393" s="21">
        <v>0</v>
      </c>
      <c r="U393" s="3">
        <v>200000</v>
      </c>
    </row>
    <row r="394" spans="1:258" ht="45" customHeight="1">
      <c r="A394" s="55" t="s">
        <v>85</v>
      </c>
      <c r="B394" s="55"/>
      <c r="C394" s="1">
        <f t="shared" si="93"/>
        <v>1090755.2</v>
      </c>
      <c r="D394" s="1">
        <f t="shared" ref="D394:U394" si="105">SUM(D395)</f>
        <v>134442</v>
      </c>
      <c r="E394" s="1">
        <f t="shared" si="105"/>
        <v>134442</v>
      </c>
      <c r="F394" s="1">
        <f t="shared" si="105"/>
        <v>0</v>
      </c>
      <c r="G394" s="1">
        <f t="shared" si="105"/>
        <v>0</v>
      </c>
      <c r="H394" s="1">
        <f t="shared" si="105"/>
        <v>0</v>
      </c>
      <c r="I394" s="1">
        <f t="shared" si="105"/>
        <v>0</v>
      </c>
      <c r="J394" s="1">
        <f t="shared" si="105"/>
        <v>0</v>
      </c>
      <c r="K394" s="42">
        <f t="shared" si="105"/>
        <v>0</v>
      </c>
      <c r="L394" s="1">
        <f t="shared" si="105"/>
        <v>0</v>
      </c>
      <c r="M394" s="1">
        <f t="shared" si="105"/>
        <v>0</v>
      </c>
      <c r="N394" s="1">
        <f t="shared" si="105"/>
        <v>0</v>
      </c>
      <c r="O394" s="1">
        <f t="shared" si="105"/>
        <v>0</v>
      </c>
      <c r="P394" s="1">
        <f t="shared" si="105"/>
        <v>0</v>
      </c>
      <c r="Q394" s="1">
        <f t="shared" si="105"/>
        <v>225.84</v>
      </c>
      <c r="R394" s="1">
        <f t="shared" si="105"/>
        <v>588313.19999999995</v>
      </c>
      <c r="S394" s="1">
        <f t="shared" si="105"/>
        <v>168000</v>
      </c>
      <c r="T394" s="1">
        <f t="shared" si="105"/>
        <v>0</v>
      </c>
      <c r="U394" s="1">
        <f t="shared" si="105"/>
        <v>200000</v>
      </c>
      <c r="V394" s="13">
        <f>C394+C809</f>
        <v>3477955.2</v>
      </c>
    </row>
    <row r="395" spans="1:258" ht="21.95" customHeight="1">
      <c r="A395" s="17" t="s">
        <v>985</v>
      </c>
      <c r="B395" s="26" t="s">
        <v>88</v>
      </c>
      <c r="C395" s="1">
        <f t="shared" si="93"/>
        <v>1090755.2</v>
      </c>
      <c r="D395" s="21">
        <f t="shared" ref="D395" si="106">SUM(E395:J395)</f>
        <v>134442</v>
      </c>
      <c r="E395" s="21">
        <f>350*384.12</f>
        <v>134442</v>
      </c>
      <c r="F395" s="21">
        <v>0</v>
      </c>
      <c r="G395" s="21">
        <v>0</v>
      </c>
      <c r="H395" s="21">
        <v>0</v>
      </c>
      <c r="I395" s="21">
        <v>0</v>
      </c>
      <c r="J395" s="21">
        <f>350*0</f>
        <v>0</v>
      </c>
      <c r="K395" s="5">
        <v>0</v>
      </c>
      <c r="L395" s="3">
        <v>0</v>
      </c>
      <c r="M395" s="3">
        <v>0</v>
      </c>
      <c r="N395" s="3">
        <v>0</v>
      </c>
      <c r="O395" s="3">
        <v>0</v>
      </c>
      <c r="P395" s="3">
        <v>0</v>
      </c>
      <c r="Q395" s="3">
        <v>225.84</v>
      </c>
      <c r="R395" s="3">
        <v>588313.19999999995</v>
      </c>
      <c r="S395" s="3">
        <v>168000</v>
      </c>
      <c r="T395" s="3">
        <v>0</v>
      </c>
      <c r="U395" s="3">
        <v>200000</v>
      </c>
      <c r="V395" s="13"/>
    </row>
    <row r="396" spans="1:258" ht="45" customHeight="1">
      <c r="A396" s="55" t="s">
        <v>853</v>
      </c>
      <c r="B396" s="55"/>
      <c r="C396" s="1">
        <f t="shared" si="93"/>
        <v>5637643.5</v>
      </c>
      <c r="D396" s="1">
        <f t="shared" ref="D396:U396" si="107">SUM(D397:D398)</f>
        <v>0</v>
      </c>
      <c r="E396" s="1">
        <f t="shared" si="107"/>
        <v>0</v>
      </c>
      <c r="F396" s="1">
        <f t="shared" si="107"/>
        <v>0</v>
      </c>
      <c r="G396" s="1">
        <f t="shared" si="107"/>
        <v>0</v>
      </c>
      <c r="H396" s="1">
        <f t="shared" si="107"/>
        <v>0</v>
      </c>
      <c r="I396" s="1">
        <f t="shared" si="107"/>
        <v>0</v>
      </c>
      <c r="J396" s="1">
        <f t="shared" si="107"/>
        <v>0</v>
      </c>
      <c r="K396" s="42">
        <f t="shared" si="107"/>
        <v>0</v>
      </c>
      <c r="L396" s="1">
        <f t="shared" si="107"/>
        <v>0</v>
      </c>
      <c r="M396" s="1">
        <f t="shared" si="107"/>
        <v>1064.5</v>
      </c>
      <c r="N396" s="1">
        <f t="shared" si="107"/>
        <v>3193500</v>
      </c>
      <c r="O396" s="1">
        <f t="shared" si="107"/>
        <v>0</v>
      </c>
      <c r="P396" s="1">
        <f t="shared" si="107"/>
        <v>0</v>
      </c>
      <c r="Q396" s="1">
        <f t="shared" si="107"/>
        <v>784.7</v>
      </c>
      <c r="R396" s="1">
        <f t="shared" si="107"/>
        <v>2044143.5</v>
      </c>
      <c r="S396" s="1">
        <f t="shared" si="107"/>
        <v>0</v>
      </c>
      <c r="T396" s="1">
        <f t="shared" si="107"/>
        <v>0</v>
      </c>
      <c r="U396" s="1">
        <f t="shared" si="107"/>
        <v>400000</v>
      </c>
    </row>
    <row r="397" spans="1:258" ht="21.95" customHeight="1">
      <c r="A397" s="19" t="s">
        <v>986</v>
      </c>
      <c r="B397" s="24" t="s">
        <v>93</v>
      </c>
      <c r="C397" s="1">
        <f t="shared" si="93"/>
        <v>2315300</v>
      </c>
      <c r="D397" s="21">
        <f t="shared" ref="D397:D398" si="108">SUM(E397:J397)</f>
        <v>0</v>
      </c>
      <c r="E397" s="21">
        <v>0</v>
      </c>
      <c r="F397" s="21">
        <v>0</v>
      </c>
      <c r="G397" s="21">
        <v>0</v>
      </c>
      <c r="H397" s="21">
        <v>0</v>
      </c>
      <c r="I397" s="21">
        <v>0</v>
      </c>
      <c r="J397" s="21">
        <v>0</v>
      </c>
      <c r="K397" s="40">
        <v>0</v>
      </c>
      <c r="L397" s="21">
        <v>0</v>
      </c>
      <c r="M397" s="21">
        <v>705.1</v>
      </c>
      <c r="N397" s="21">
        <v>2115300</v>
      </c>
      <c r="O397" s="21">
        <v>0</v>
      </c>
      <c r="P397" s="21">
        <v>0</v>
      </c>
      <c r="Q397" s="21">
        <v>0</v>
      </c>
      <c r="R397" s="21">
        <v>0</v>
      </c>
      <c r="S397" s="21">
        <v>0</v>
      </c>
      <c r="T397" s="21">
        <v>0</v>
      </c>
      <c r="U397" s="21">
        <v>200000</v>
      </c>
    </row>
    <row r="398" spans="1:258" ht="21.95" customHeight="1">
      <c r="A398" s="17" t="s">
        <v>987</v>
      </c>
      <c r="B398" s="24" t="s">
        <v>94</v>
      </c>
      <c r="C398" s="1">
        <f t="shared" si="93"/>
        <v>3322343.5</v>
      </c>
      <c r="D398" s="21">
        <f t="shared" si="108"/>
        <v>0</v>
      </c>
      <c r="E398" s="21">
        <v>0</v>
      </c>
      <c r="F398" s="21">
        <v>0</v>
      </c>
      <c r="G398" s="21">
        <v>0</v>
      </c>
      <c r="H398" s="21">
        <v>0</v>
      </c>
      <c r="I398" s="21">
        <v>0</v>
      </c>
      <c r="J398" s="21">
        <v>0</v>
      </c>
      <c r="K398" s="5">
        <v>0</v>
      </c>
      <c r="L398" s="3">
        <v>0</v>
      </c>
      <c r="M398" s="3">
        <v>359.4</v>
      </c>
      <c r="N398" s="3">
        <v>1078200</v>
      </c>
      <c r="O398" s="3">
        <v>0</v>
      </c>
      <c r="P398" s="3">
        <v>0</v>
      </c>
      <c r="Q398" s="3">
        <v>784.7</v>
      </c>
      <c r="R398" s="3">
        <v>2044143.5</v>
      </c>
      <c r="S398" s="3">
        <v>0</v>
      </c>
      <c r="T398" s="3">
        <v>0</v>
      </c>
      <c r="U398" s="3">
        <v>200000</v>
      </c>
      <c r="V398" s="4"/>
      <c r="IX398" s="13"/>
    </row>
    <row r="399" spans="1:258" ht="45" customHeight="1">
      <c r="A399" s="55" t="s">
        <v>96</v>
      </c>
      <c r="B399" s="55"/>
      <c r="C399" s="1">
        <f t="shared" si="93"/>
        <v>1773000</v>
      </c>
      <c r="D399" s="1">
        <f t="shared" ref="D399:U399" si="109">SUM(D400)</f>
        <v>133000</v>
      </c>
      <c r="E399" s="1">
        <f t="shared" si="109"/>
        <v>133000</v>
      </c>
      <c r="F399" s="1">
        <f t="shared" si="109"/>
        <v>0</v>
      </c>
      <c r="G399" s="1">
        <f t="shared" si="109"/>
        <v>0</v>
      </c>
      <c r="H399" s="1">
        <f t="shared" si="109"/>
        <v>0</v>
      </c>
      <c r="I399" s="1">
        <f t="shared" si="109"/>
        <v>0</v>
      </c>
      <c r="J399" s="1">
        <f t="shared" si="109"/>
        <v>0</v>
      </c>
      <c r="K399" s="42">
        <f t="shared" si="109"/>
        <v>0</v>
      </c>
      <c r="L399" s="1">
        <f t="shared" si="109"/>
        <v>0</v>
      </c>
      <c r="M399" s="1">
        <f t="shared" si="109"/>
        <v>300</v>
      </c>
      <c r="N399" s="1">
        <f t="shared" si="109"/>
        <v>1440000</v>
      </c>
      <c r="O399" s="1">
        <f t="shared" si="109"/>
        <v>0</v>
      </c>
      <c r="P399" s="1">
        <f t="shared" si="109"/>
        <v>0</v>
      </c>
      <c r="Q399" s="1">
        <f t="shared" si="109"/>
        <v>0</v>
      </c>
      <c r="R399" s="1">
        <f t="shared" si="109"/>
        <v>0</v>
      </c>
      <c r="S399" s="1">
        <f t="shared" si="109"/>
        <v>0</v>
      </c>
      <c r="T399" s="1">
        <f t="shared" si="109"/>
        <v>0</v>
      </c>
      <c r="U399" s="1">
        <f t="shared" si="109"/>
        <v>200000</v>
      </c>
      <c r="V399" s="13">
        <f>C399</f>
        <v>1773000</v>
      </c>
    </row>
    <row r="400" spans="1:258" ht="21.95" customHeight="1">
      <c r="A400" s="19" t="s">
        <v>1788</v>
      </c>
      <c r="B400" s="26" t="s">
        <v>95</v>
      </c>
      <c r="C400" s="1">
        <f t="shared" si="93"/>
        <v>1773000</v>
      </c>
      <c r="D400" s="21">
        <f t="shared" ref="D400" si="110">SUM(E400:J400)</f>
        <v>133000</v>
      </c>
      <c r="E400" s="21">
        <f>350*380</f>
        <v>133000</v>
      </c>
      <c r="F400" s="21">
        <v>0</v>
      </c>
      <c r="G400" s="21">
        <v>0</v>
      </c>
      <c r="H400" s="21">
        <f>500*0</f>
        <v>0</v>
      </c>
      <c r="I400" s="21">
        <v>0</v>
      </c>
      <c r="J400" s="21">
        <f>350*0</f>
        <v>0</v>
      </c>
      <c r="K400" s="40">
        <v>0</v>
      </c>
      <c r="L400" s="21">
        <v>0</v>
      </c>
      <c r="M400" s="3">
        <v>300</v>
      </c>
      <c r="N400" s="3">
        <v>1440000</v>
      </c>
      <c r="O400" s="21">
        <v>0</v>
      </c>
      <c r="P400" s="21">
        <v>0</v>
      </c>
      <c r="Q400" s="21">
        <v>0</v>
      </c>
      <c r="R400" s="21">
        <v>0</v>
      </c>
      <c r="S400" s="21">
        <v>0</v>
      </c>
      <c r="T400" s="21">
        <v>0</v>
      </c>
      <c r="U400" s="21">
        <v>200000</v>
      </c>
    </row>
    <row r="401" spans="1:22" ht="45" customHeight="1">
      <c r="A401" s="55" t="s">
        <v>97</v>
      </c>
      <c r="B401" s="55"/>
      <c r="C401" s="1">
        <f t="shared" si="93"/>
        <v>14143360</v>
      </c>
      <c r="D401" s="1">
        <f t="shared" ref="D401:U401" si="111">SUM(D402:D404)</f>
        <v>0</v>
      </c>
      <c r="E401" s="1">
        <f t="shared" si="111"/>
        <v>0</v>
      </c>
      <c r="F401" s="1">
        <f t="shared" si="111"/>
        <v>0</v>
      </c>
      <c r="G401" s="1">
        <f t="shared" si="111"/>
        <v>0</v>
      </c>
      <c r="H401" s="1">
        <f t="shared" si="111"/>
        <v>0</v>
      </c>
      <c r="I401" s="1">
        <f t="shared" si="111"/>
        <v>0</v>
      </c>
      <c r="J401" s="1">
        <f t="shared" si="111"/>
        <v>0</v>
      </c>
      <c r="K401" s="42">
        <f t="shared" si="111"/>
        <v>5</v>
      </c>
      <c r="L401" s="1">
        <f t="shared" si="111"/>
        <v>11500000</v>
      </c>
      <c r="M401" s="1">
        <f t="shared" si="111"/>
        <v>619.20000000000005</v>
      </c>
      <c r="N401" s="1">
        <f t="shared" si="111"/>
        <v>2043360</v>
      </c>
      <c r="O401" s="1">
        <f t="shared" si="111"/>
        <v>0</v>
      </c>
      <c r="P401" s="1">
        <f t="shared" si="111"/>
        <v>0</v>
      </c>
      <c r="Q401" s="1">
        <f t="shared" si="111"/>
        <v>0</v>
      </c>
      <c r="R401" s="1">
        <f t="shared" si="111"/>
        <v>0</v>
      </c>
      <c r="S401" s="1">
        <f t="shared" si="111"/>
        <v>0</v>
      </c>
      <c r="T401" s="1">
        <f t="shared" si="111"/>
        <v>0</v>
      </c>
      <c r="U401" s="1">
        <f t="shared" si="111"/>
        <v>600000</v>
      </c>
    </row>
    <row r="402" spans="1:22" s="14" customFormat="1" ht="21.95" customHeight="1">
      <c r="A402" s="19" t="s">
        <v>988</v>
      </c>
      <c r="B402" s="24" t="s">
        <v>98</v>
      </c>
      <c r="C402" s="1">
        <f t="shared" si="93"/>
        <v>2243360</v>
      </c>
      <c r="D402" s="21">
        <f t="shared" ref="D402:D404" si="112">SUM(E402:J402)</f>
        <v>0</v>
      </c>
      <c r="E402" s="21">
        <v>0</v>
      </c>
      <c r="F402" s="21">
        <v>0</v>
      </c>
      <c r="G402" s="21">
        <v>0</v>
      </c>
      <c r="H402" s="21">
        <v>0</v>
      </c>
      <c r="I402" s="21">
        <v>0</v>
      </c>
      <c r="J402" s="21">
        <v>0</v>
      </c>
      <c r="K402" s="40">
        <v>0</v>
      </c>
      <c r="L402" s="21">
        <v>0</v>
      </c>
      <c r="M402" s="3">
        <v>619.20000000000005</v>
      </c>
      <c r="N402" s="3">
        <v>2043360</v>
      </c>
      <c r="O402" s="21">
        <v>0</v>
      </c>
      <c r="P402" s="21">
        <v>0</v>
      </c>
      <c r="Q402" s="21">
        <v>0</v>
      </c>
      <c r="R402" s="21">
        <v>0</v>
      </c>
      <c r="S402" s="21">
        <v>0</v>
      </c>
      <c r="T402" s="21">
        <v>0</v>
      </c>
      <c r="U402" s="21">
        <v>200000</v>
      </c>
    </row>
    <row r="403" spans="1:22" s="12" customFormat="1" ht="21.95" customHeight="1">
      <c r="A403" s="19" t="s">
        <v>989</v>
      </c>
      <c r="B403" s="24" t="s">
        <v>102</v>
      </c>
      <c r="C403" s="1">
        <f t="shared" si="93"/>
        <v>4800000</v>
      </c>
      <c r="D403" s="21">
        <f t="shared" si="112"/>
        <v>0</v>
      </c>
      <c r="E403" s="21">
        <v>0</v>
      </c>
      <c r="F403" s="21">
        <v>0</v>
      </c>
      <c r="G403" s="21">
        <v>0</v>
      </c>
      <c r="H403" s="21">
        <v>0</v>
      </c>
      <c r="I403" s="21">
        <v>0</v>
      </c>
      <c r="J403" s="21">
        <v>0</v>
      </c>
      <c r="K403" s="5">
        <v>2</v>
      </c>
      <c r="L403" s="3">
        <v>4600000</v>
      </c>
      <c r="M403" s="3">
        <v>0</v>
      </c>
      <c r="N403" s="3">
        <v>0</v>
      </c>
      <c r="O403" s="3">
        <v>0</v>
      </c>
      <c r="P403" s="3">
        <v>0</v>
      </c>
      <c r="Q403" s="3">
        <v>0</v>
      </c>
      <c r="R403" s="3">
        <v>0</v>
      </c>
      <c r="S403" s="3">
        <v>0</v>
      </c>
      <c r="T403" s="3">
        <v>0</v>
      </c>
      <c r="U403" s="3">
        <v>200000</v>
      </c>
    </row>
    <row r="404" spans="1:22" ht="21.95" customHeight="1">
      <c r="A404" s="19" t="s">
        <v>990</v>
      </c>
      <c r="B404" s="24" t="s">
        <v>104</v>
      </c>
      <c r="C404" s="1">
        <f t="shared" si="93"/>
        <v>7100000</v>
      </c>
      <c r="D404" s="21">
        <f t="shared" si="112"/>
        <v>0</v>
      </c>
      <c r="E404" s="21">
        <v>0</v>
      </c>
      <c r="F404" s="21">
        <v>0</v>
      </c>
      <c r="G404" s="21">
        <v>0</v>
      </c>
      <c r="H404" s="21">
        <v>0</v>
      </c>
      <c r="I404" s="21">
        <v>0</v>
      </c>
      <c r="J404" s="21">
        <v>0</v>
      </c>
      <c r="K404" s="40">
        <v>3</v>
      </c>
      <c r="L404" s="21">
        <v>6900000</v>
      </c>
      <c r="M404" s="3">
        <v>0</v>
      </c>
      <c r="N404" s="3">
        <v>0</v>
      </c>
      <c r="O404" s="21">
        <v>0</v>
      </c>
      <c r="P404" s="21">
        <v>0</v>
      </c>
      <c r="Q404" s="21">
        <v>0</v>
      </c>
      <c r="R404" s="21">
        <v>0</v>
      </c>
      <c r="S404" s="21">
        <v>0</v>
      </c>
      <c r="T404" s="21">
        <v>0</v>
      </c>
      <c r="U404" s="21">
        <v>200000</v>
      </c>
    </row>
    <row r="405" spans="1:22" ht="50.25" customHeight="1">
      <c r="A405" s="55" t="s">
        <v>106</v>
      </c>
      <c r="B405" s="55"/>
      <c r="C405" s="1">
        <f t="shared" si="93"/>
        <v>21937084.600000001</v>
      </c>
      <c r="D405" s="1">
        <f t="shared" ref="D405:U405" si="113">SUM(D406:D412)</f>
        <v>2197440</v>
      </c>
      <c r="E405" s="1">
        <f t="shared" si="113"/>
        <v>320460</v>
      </c>
      <c r="F405" s="1">
        <f t="shared" si="113"/>
        <v>732480</v>
      </c>
      <c r="G405" s="1">
        <f t="shared" si="113"/>
        <v>320460</v>
      </c>
      <c r="H405" s="1">
        <f t="shared" si="113"/>
        <v>457800</v>
      </c>
      <c r="I405" s="1">
        <f t="shared" si="113"/>
        <v>366240</v>
      </c>
      <c r="J405" s="1">
        <f t="shared" si="113"/>
        <v>0</v>
      </c>
      <c r="K405" s="42">
        <f t="shared" si="113"/>
        <v>0</v>
      </c>
      <c r="L405" s="1">
        <f t="shared" si="113"/>
        <v>0</v>
      </c>
      <c r="M405" s="1">
        <f t="shared" si="113"/>
        <v>3290.1</v>
      </c>
      <c r="N405" s="1">
        <f t="shared" si="113"/>
        <v>16039644.6</v>
      </c>
      <c r="O405" s="1">
        <f t="shared" si="113"/>
        <v>0</v>
      </c>
      <c r="P405" s="1">
        <f t="shared" si="113"/>
        <v>0</v>
      </c>
      <c r="Q405" s="1">
        <f t="shared" si="113"/>
        <v>800</v>
      </c>
      <c r="R405" s="1">
        <f t="shared" si="113"/>
        <v>2400000</v>
      </c>
      <c r="S405" s="1">
        <f t="shared" si="113"/>
        <v>0</v>
      </c>
      <c r="T405" s="1">
        <f t="shared" si="113"/>
        <v>0</v>
      </c>
      <c r="U405" s="1">
        <f t="shared" si="113"/>
        <v>1300000</v>
      </c>
    </row>
    <row r="406" spans="1:22" s="9" customFormat="1" ht="21.95" customHeight="1">
      <c r="A406" s="19" t="s">
        <v>991</v>
      </c>
      <c r="B406" s="24" t="s">
        <v>107</v>
      </c>
      <c r="C406" s="1">
        <f t="shared" si="93"/>
        <v>2659200</v>
      </c>
      <c r="D406" s="21">
        <f t="shared" ref="D406:D412" si="114">SUM(E406:J406)</f>
        <v>0</v>
      </c>
      <c r="E406" s="21">
        <v>0</v>
      </c>
      <c r="F406" s="21">
        <v>0</v>
      </c>
      <c r="G406" s="21">
        <v>0</v>
      </c>
      <c r="H406" s="21">
        <v>0</v>
      </c>
      <c r="I406" s="21">
        <v>0</v>
      </c>
      <c r="J406" s="21">
        <v>0</v>
      </c>
      <c r="K406" s="40">
        <v>0</v>
      </c>
      <c r="L406" s="21">
        <v>0</v>
      </c>
      <c r="M406" s="3">
        <v>464</v>
      </c>
      <c r="N406" s="3">
        <v>2459200</v>
      </c>
      <c r="O406" s="21">
        <v>0</v>
      </c>
      <c r="P406" s="21">
        <v>0</v>
      </c>
      <c r="Q406" s="21">
        <v>0</v>
      </c>
      <c r="R406" s="21">
        <v>0</v>
      </c>
      <c r="S406" s="21">
        <v>0</v>
      </c>
      <c r="T406" s="21">
        <v>0</v>
      </c>
      <c r="U406" s="21">
        <v>200000</v>
      </c>
    </row>
    <row r="407" spans="1:22" ht="21.95" customHeight="1">
      <c r="A407" s="19" t="s">
        <v>992</v>
      </c>
      <c r="B407" s="24" t="s">
        <v>109</v>
      </c>
      <c r="C407" s="1">
        <f t="shared" si="93"/>
        <v>2574400</v>
      </c>
      <c r="D407" s="21">
        <f t="shared" si="114"/>
        <v>0</v>
      </c>
      <c r="E407" s="21">
        <v>0</v>
      </c>
      <c r="F407" s="21">
        <v>0</v>
      </c>
      <c r="G407" s="21">
        <v>0</v>
      </c>
      <c r="H407" s="21">
        <v>0</v>
      </c>
      <c r="I407" s="21">
        <v>0</v>
      </c>
      <c r="J407" s="21">
        <v>0</v>
      </c>
      <c r="K407" s="40">
        <v>0</v>
      </c>
      <c r="L407" s="21">
        <v>0</v>
      </c>
      <c r="M407" s="3">
        <v>448</v>
      </c>
      <c r="N407" s="3">
        <v>2374400</v>
      </c>
      <c r="O407" s="21">
        <v>0</v>
      </c>
      <c r="P407" s="21">
        <v>0</v>
      </c>
      <c r="Q407" s="21">
        <v>0</v>
      </c>
      <c r="R407" s="21">
        <v>0</v>
      </c>
      <c r="S407" s="21">
        <v>0</v>
      </c>
      <c r="T407" s="21">
        <v>0</v>
      </c>
      <c r="U407" s="21">
        <v>200000</v>
      </c>
    </row>
    <row r="408" spans="1:22" ht="21.95" customHeight="1">
      <c r="A408" s="19" t="s">
        <v>993</v>
      </c>
      <c r="B408" s="24" t="s">
        <v>1938</v>
      </c>
      <c r="C408" s="1">
        <f t="shared" si="93"/>
        <v>3292444.6</v>
      </c>
      <c r="D408" s="21">
        <f t="shared" si="114"/>
        <v>0</v>
      </c>
      <c r="E408" s="21">
        <f>350*0</f>
        <v>0</v>
      </c>
      <c r="F408" s="21">
        <f>800*0</f>
        <v>0</v>
      </c>
      <c r="G408" s="21">
        <f>350*0</f>
        <v>0</v>
      </c>
      <c r="H408" s="21">
        <f>500*0</f>
        <v>0</v>
      </c>
      <c r="I408" s="21">
        <f>400*0</f>
        <v>0</v>
      </c>
      <c r="J408" s="21">
        <v>0</v>
      </c>
      <c r="K408" s="5">
        <v>0</v>
      </c>
      <c r="L408" s="3">
        <v>0</v>
      </c>
      <c r="M408" s="3">
        <v>866.1</v>
      </c>
      <c r="N408" s="3">
        <f>M408*3686</f>
        <v>3192444.6</v>
      </c>
      <c r="O408" s="3">
        <v>0</v>
      </c>
      <c r="P408" s="3">
        <v>0</v>
      </c>
      <c r="Q408" s="3">
        <v>0</v>
      </c>
      <c r="R408" s="3">
        <f>Q408*3000</f>
        <v>0</v>
      </c>
      <c r="S408" s="3">
        <v>0</v>
      </c>
      <c r="T408" s="3">
        <v>0</v>
      </c>
      <c r="U408" s="3">
        <v>100000</v>
      </c>
    </row>
    <row r="409" spans="1:22" ht="21" customHeight="1">
      <c r="A409" s="19" t="s">
        <v>994</v>
      </c>
      <c r="B409" s="24" t="s">
        <v>112</v>
      </c>
      <c r="C409" s="1">
        <f t="shared" si="93"/>
        <v>4797440</v>
      </c>
      <c r="D409" s="21">
        <f t="shared" si="114"/>
        <v>2197440</v>
      </c>
      <c r="E409" s="21">
        <f>350*915.6</f>
        <v>320460</v>
      </c>
      <c r="F409" s="21">
        <f>800*915.6</f>
        <v>732480</v>
      </c>
      <c r="G409" s="21">
        <f>350*915.6</f>
        <v>320460</v>
      </c>
      <c r="H409" s="21">
        <f>500*915.6</f>
        <v>457800</v>
      </c>
      <c r="I409" s="21">
        <f>400*915.6</f>
        <v>366240</v>
      </c>
      <c r="J409" s="21">
        <v>0</v>
      </c>
      <c r="K409" s="40">
        <v>0</v>
      </c>
      <c r="L409" s="21">
        <v>0</v>
      </c>
      <c r="M409" s="3">
        <v>0</v>
      </c>
      <c r="N409" s="3">
        <v>0</v>
      </c>
      <c r="O409" s="21">
        <v>0</v>
      </c>
      <c r="P409" s="21">
        <v>0</v>
      </c>
      <c r="Q409" s="21">
        <v>800</v>
      </c>
      <c r="R409" s="21">
        <f>Q409*3000</f>
        <v>2400000</v>
      </c>
      <c r="S409" s="21">
        <v>0</v>
      </c>
      <c r="T409" s="21">
        <v>0</v>
      </c>
      <c r="U409" s="21">
        <v>200000</v>
      </c>
    </row>
    <row r="410" spans="1:22" ht="21.95" customHeight="1">
      <c r="A410" s="19" t="s">
        <v>995</v>
      </c>
      <c r="B410" s="24" t="s">
        <v>117</v>
      </c>
      <c r="C410" s="1">
        <f t="shared" si="93"/>
        <v>2574400</v>
      </c>
      <c r="D410" s="21">
        <f t="shared" si="114"/>
        <v>0</v>
      </c>
      <c r="E410" s="21">
        <v>0</v>
      </c>
      <c r="F410" s="21">
        <v>0</v>
      </c>
      <c r="G410" s="21">
        <v>0</v>
      </c>
      <c r="H410" s="21">
        <v>0</v>
      </c>
      <c r="I410" s="21">
        <v>0</v>
      </c>
      <c r="J410" s="21">
        <v>0</v>
      </c>
      <c r="K410" s="40">
        <v>0</v>
      </c>
      <c r="L410" s="21">
        <v>0</v>
      </c>
      <c r="M410" s="3">
        <v>448</v>
      </c>
      <c r="N410" s="3">
        <v>2374400</v>
      </c>
      <c r="O410" s="21">
        <v>0</v>
      </c>
      <c r="P410" s="21">
        <v>0</v>
      </c>
      <c r="Q410" s="21">
        <v>0</v>
      </c>
      <c r="R410" s="21">
        <v>0</v>
      </c>
      <c r="S410" s="21">
        <v>0</v>
      </c>
      <c r="T410" s="21">
        <v>0</v>
      </c>
      <c r="U410" s="21">
        <v>200000</v>
      </c>
    </row>
    <row r="411" spans="1:22" ht="21.95" customHeight="1">
      <c r="A411" s="19" t="s">
        <v>996</v>
      </c>
      <c r="B411" s="24" t="s">
        <v>118</v>
      </c>
      <c r="C411" s="1">
        <f t="shared" si="93"/>
        <v>3279300</v>
      </c>
      <c r="D411" s="21">
        <f t="shared" si="114"/>
        <v>0</v>
      </c>
      <c r="E411" s="21">
        <v>0</v>
      </c>
      <c r="F411" s="21">
        <v>0</v>
      </c>
      <c r="G411" s="21">
        <v>0</v>
      </c>
      <c r="H411" s="21">
        <v>0</v>
      </c>
      <c r="I411" s="21">
        <v>0</v>
      </c>
      <c r="J411" s="21">
        <v>0</v>
      </c>
      <c r="K411" s="40">
        <v>0</v>
      </c>
      <c r="L411" s="21">
        <v>0</v>
      </c>
      <c r="M411" s="3">
        <v>581</v>
      </c>
      <c r="N411" s="3">
        <v>3079300</v>
      </c>
      <c r="O411" s="21">
        <v>0</v>
      </c>
      <c r="P411" s="21">
        <v>0</v>
      </c>
      <c r="Q411" s="21">
        <v>0</v>
      </c>
      <c r="R411" s="21">
        <v>0</v>
      </c>
      <c r="S411" s="21">
        <v>0</v>
      </c>
      <c r="T411" s="21">
        <v>0</v>
      </c>
      <c r="U411" s="21">
        <v>200000</v>
      </c>
    </row>
    <row r="412" spans="1:22" ht="21.95" customHeight="1">
      <c r="A412" s="19" t="s">
        <v>997</v>
      </c>
      <c r="B412" s="24" t="s">
        <v>119</v>
      </c>
      <c r="C412" s="1">
        <f t="shared" si="93"/>
        <v>2759900</v>
      </c>
      <c r="D412" s="21">
        <f t="shared" si="114"/>
        <v>0</v>
      </c>
      <c r="E412" s="21">
        <v>0</v>
      </c>
      <c r="F412" s="21">
        <v>0</v>
      </c>
      <c r="G412" s="21">
        <v>0</v>
      </c>
      <c r="H412" s="21">
        <v>0</v>
      </c>
      <c r="I412" s="21">
        <v>0</v>
      </c>
      <c r="J412" s="21">
        <v>0</v>
      </c>
      <c r="K412" s="40">
        <v>0</v>
      </c>
      <c r="L412" s="21">
        <v>0</v>
      </c>
      <c r="M412" s="3">
        <v>483</v>
      </c>
      <c r="N412" s="3">
        <v>2559900</v>
      </c>
      <c r="O412" s="21">
        <v>0</v>
      </c>
      <c r="P412" s="21">
        <v>0</v>
      </c>
      <c r="Q412" s="21">
        <v>0</v>
      </c>
      <c r="R412" s="21">
        <v>0</v>
      </c>
      <c r="S412" s="21">
        <v>0</v>
      </c>
      <c r="T412" s="21">
        <v>0</v>
      </c>
      <c r="U412" s="21">
        <v>200000</v>
      </c>
    </row>
    <row r="413" spans="1:22" ht="45" customHeight="1">
      <c r="A413" s="55" t="s">
        <v>120</v>
      </c>
      <c r="B413" s="55"/>
      <c r="C413" s="1">
        <f t="shared" si="93"/>
        <v>1525000</v>
      </c>
      <c r="D413" s="1">
        <f t="shared" ref="D413:U413" si="115">SUM(D414)</f>
        <v>0</v>
      </c>
      <c r="E413" s="1">
        <f t="shared" si="115"/>
        <v>0</v>
      </c>
      <c r="F413" s="1">
        <f t="shared" si="115"/>
        <v>0</v>
      </c>
      <c r="G413" s="1">
        <f t="shared" si="115"/>
        <v>0</v>
      </c>
      <c r="H413" s="1">
        <f t="shared" si="115"/>
        <v>0</v>
      </c>
      <c r="I413" s="1">
        <f t="shared" si="115"/>
        <v>0</v>
      </c>
      <c r="J413" s="1">
        <f t="shared" si="115"/>
        <v>0</v>
      </c>
      <c r="K413" s="42">
        <f t="shared" si="115"/>
        <v>0</v>
      </c>
      <c r="L413" s="1">
        <f t="shared" si="115"/>
        <v>0</v>
      </c>
      <c r="M413" s="1">
        <f t="shared" si="115"/>
        <v>250</v>
      </c>
      <c r="N413" s="1">
        <f t="shared" si="115"/>
        <v>1325000</v>
      </c>
      <c r="O413" s="1">
        <f t="shared" si="115"/>
        <v>0</v>
      </c>
      <c r="P413" s="1">
        <f t="shared" si="115"/>
        <v>0</v>
      </c>
      <c r="Q413" s="1">
        <f t="shared" si="115"/>
        <v>0</v>
      </c>
      <c r="R413" s="1">
        <f t="shared" si="115"/>
        <v>0</v>
      </c>
      <c r="S413" s="1">
        <f t="shared" si="115"/>
        <v>0</v>
      </c>
      <c r="T413" s="1">
        <f t="shared" si="115"/>
        <v>0</v>
      </c>
      <c r="U413" s="1">
        <f t="shared" si="115"/>
        <v>200000</v>
      </c>
      <c r="V413" s="13">
        <f>C413+C826</f>
        <v>2954600</v>
      </c>
    </row>
    <row r="414" spans="1:22" ht="21.95" customHeight="1">
      <c r="A414" s="19" t="s">
        <v>998</v>
      </c>
      <c r="B414" s="24" t="s">
        <v>122</v>
      </c>
      <c r="C414" s="1">
        <f t="shared" si="93"/>
        <v>1525000</v>
      </c>
      <c r="D414" s="21">
        <f t="shared" ref="D414" si="116">SUM(E414:J414)</f>
        <v>0</v>
      </c>
      <c r="E414" s="21">
        <v>0</v>
      </c>
      <c r="F414" s="21">
        <v>0</v>
      </c>
      <c r="G414" s="21">
        <v>0</v>
      </c>
      <c r="H414" s="21">
        <v>0</v>
      </c>
      <c r="I414" s="21">
        <v>0</v>
      </c>
      <c r="J414" s="21">
        <v>0</v>
      </c>
      <c r="K414" s="40">
        <v>0</v>
      </c>
      <c r="L414" s="21">
        <v>0</v>
      </c>
      <c r="M414" s="3">
        <v>250</v>
      </c>
      <c r="N414" s="3">
        <v>1325000</v>
      </c>
      <c r="O414" s="3">
        <v>0</v>
      </c>
      <c r="P414" s="3">
        <v>0</v>
      </c>
      <c r="Q414" s="3">
        <v>0</v>
      </c>
      <c r="R414" s="3">
        <v>0</v>
      </c>
      <c r="S414" s="3">
        <v>0</v>
      </c>
      <c r="T414" s="3">
        <v>0</v>
      </c>
      <c r="U414" s="3">
        <v>200000</v>
      </c>
    </row>
    <row r="415" spans="1:22" ht="45" customHeight="1">
      <c r="A415" s="55" t="s">
        <v>1924</v>
      </c>
      <c r="B415" s="55"/>
      <c r="C415" s="1">
        <f t="shared" si="93"/>
        <v>473220</v>
      </c>
      <c r="D415" s="1">
        <f t="shared" ref="D415:U415" si="117">SUM(D833)</f>
        <v>473220</v>
      </c>
      <c r="E415" s="1">
        <f t="shared" si="117"/>
        <v>150570</v>
      </c>
      <c r="F415" s="1">
        <f t="shared" si="117"/>
        <v>0</v>
      </c>
      <c r="G415" s="1">
        <f t="shared" si="117"/>
        <v>150570</v>
      </c>
      <c r="H415" s="1">
        <f t="shared" si="117"/>
        <v>0</v>
      </c>
      <c r="I415" s="1">
        <f t="shared" si="117"/>
        <v>172080</v>
      </c>
      <c r="J415" s="1">
        <f t="shared" si="117"/>
        <v>0</v>
      </c>
      <c r="K415" s="42">
        <f t="shared" si="117"/>
        <v>0</v>
      </c>
      <c r="L415" s="1">
        <f t="shared" si="117"/>
        <v>0</v>
      </c>
      <c r="M415" s="1">
        <f t="shared" si="117"/>
        <v>0</v>
      </c>
      <c r="N415" s="1">
        <f t="shared" si="117"/>
        <v>0</v>
      </c>
      <c r="O415" s="1">
        <f t="shared" si="117"/>
        <v>0</v>
      </c>
      <c r="P415" s="1">
        <f t="shared" si="117"/>
        <v>0</v>
      </c>
      <c r="Q415" s="1">
        <f t="shared" si="117"/>
        <v>0</v>
      </c>
      <c r="R415" s="1">
        <f t="shared" si="117"/>
        <v>0</v>
      </c>
      <c r="S415" s="1">
        <f t="shared" si="117"/>
        <v>0</v>
      </c>
      <c r="T415" s="1">
        <f t="shared" si="117"/>
        <v>0</v>
      </c>
      <c r="U415" s="1">
        <f t="shared" si="117"/>
        <v>0</v>
      </c>
      <c r="V415" s="13">
        <f>C415+C834</f>
        <v>5160390</v>
      </c>
    </row>
    <row r="416" spans="1:22" ht="21.95" customHeight="1">
      <c r="A416" s="19" t="s">
        <v>999</v>
      </c>
      <c r="B416" s="24" t="s">
        <v>1925</v>
      </c>
      <c r="C416" s="1">
        <f>D416+L416+N416+P416+R416+S416+T416+U416</f>
        <v>200000</v>
      </c>
      <c r="D416" s="21">
        <f t="shared" ref="D416" si="118">SUM(E416:J416)</f>
        <v>0</v>
      </c>
      <c r="E416" s="21">
        <v>0</v>
      </c>
      <c r="F416" s="21">
        <v>0</v>
      </c>
      <c r="G416" s="21">
        <v>0</v>
      </c>
      <c r="H416" s="21">
        <v>0</v>
      </c>
      <c r="I416" s="21">
        <v>0</v>
      </c>
      <c r="J416" s="21">
        <v>0</v>
      </c>
      <c r="K416" s="40">
        <v>0</v>
      </c>
      <c r="L416" s="21">
        <v>0</v>
      </c>
      <c r="M416" s="3">
        <v>0</v>
      </c>
      <c r="N416" s="3">
        <v>0</v>
      </c>
      <c r="O416" s="3">
        <v>0</v>
      </c>
      <c r="P416" s="3">
        <v>0</v>
      </c>
      <c r="Q416" s="3">
        <v>0</v>
      </c>
      <c r="R416" s="3">
        <v>0</v>
      </c>
      <c r="S416" s="3">
        <v>0</v>
      </c>
      <c r="T416" s="3">
        <v>0</v>
      </c>
      <c r="U416" s="3">
        <v>200000</v>
      </c>
    </row>
    <row r="417" spans="1:22" ht="45" customHeight="1">
      <c r="A417" s="55" t="s">
        <v>128</v>
      </c>
      <c r="B417" s="55"/>
      <c r="C417" s="1">
        <f t="shared" si="93"/>
        <v>2925980</v>
      </c>
      <c r="D417" s="1">
        <f t="shared" ref="D417:U417" si="119">SUM(D418:D419)</f>
        <v>0</v>
      </c>
      <c r="E417" s="1">
        <f t="shared" si="119"/>
        <v>0</v>
      </c>
      <c r="F417" s="1">
        <f t="shared" si="119"/>
        <v>0</v>
      </c>
      <c r="G417" s="1">
        <f t="shared" si="119"/>
        <v>0</v>
      </c>
      <c r="H417" s="1">
        <f t="shared" si="119"/>
        <v>0</v>
      </c>
      <c r="I417" s="1">
        <f t="shared" si="119"/>
        <v>0</v>
      </c>
      <c r="J417" s="1">
        <f t="shared" si="119"/>
        <v>0</v>
      </c>
      <c r="K417" s="42">
        <f t="shared" si="119"/>
        <v>0</v>
      </c>
      <c r="L417" s="1">
        <f t="shared" si="119"/>
        <v>0</v>
      </c>
      <c r="M417" s="1">
        <f t="shared" si="119"/>
        <v>476.6</v>
      </c>
      <c r="N417" s="1">
        <f t="shared" si="119"/>
        <v>2525980</v>
      </c>
      <c r="O417" s="1">
        <f t="shared" si="119"/>
        <v>0</v>
      </c>
      <c r="P417" s="1">
        <f t="shared" si="119"/>
        <v>0</v>
      </c>
      <c r="Q417" s="1">
        <f t="shared" si="119"/>
        <v>0</v>
      </c>
      <c r="R417" s="1">
        <f t="shared" si="119"/>
        <v>0</v>
      </c>
      <c r="S417" s="1">
        <f t="shared" si="119"/>
        <v>0</v>
      </c>
      <c r="T417" s="1">
        <f t="shared" si="119"/>
        <v>0</v>
      </c>
      <c r="U417" s="1">
        <f t="shared" si="119"/>
        <v>400000</v>
      </c>
    </row>
    <row r="418" spans="1:22" ht="21.95" customHeight="1">
      <c r="A418" s="19" t="s">
        <v>1000</v>
      </c>
      <c r="B418" s="26" t="s">
        <v>125</v>
      </c>
      <c r="C418" s="1">
        <f t="shared" si="93"/>
        <v>877340</v>
      </c>
      <c r="D418" s="21">
        <f t="shared" ref="D418:D419" si="120">SUM(E418:J418)</f>
        <v>0</v>
      </c>
      <c r="E418" s="21">
        <v>0</v>
      </c>
      <c r="F418" s="21">
        <v>0</v>
      </c>
      <c r="G418" s="21">
        <v>0</v>
      </c>
      <c r="H418" s="21">
        <v>0</v>
      </c>
      <c r="I418" s="21">
        <v>0</v>
      </c>
      <c r="J418" s="21">
        <v>0</v>
      </c>
      <c r="K418" s="40">
        <v>0</v>
      </c>
      <c r="L418" s="21">
        <v>0</v>
      </c>
      <c r="M418" s="21">
        <v>127.8</v>
      </c>
      <c r="N418" s="21">
        <v>677340</v>
      </c>
      <c r="O418" s="21">
        <v>0</v>
      </c>
      <c r="P418" s="21">
        <v>0</v>
      </c>
      <c r="Q418" s="21">
        <v>0</v>
      </c>
      <c r="R418" s="21">
        <v>0</v>
      </c>
      <c r="S418" s="21">
        <v>0</v>
      </c>
      <c r="T418" s="21">
        <v>0</v>
      </c>
      <c r="U418" s="21">
        <v>200000</v>
      </c>
    </row>
    <row r="419" spans="1:22" ht="21.95" customHeight="1">
      <c r="A419" s="17" t="s">
        <v>1001</v>
      </c>
      <c r="B419" s="26" t="s">
        <v>127</v>
      </c>
      <c r="C419" s="1">
        <f t="shared" si="93"/>
        <v>2048640</v>
      </c>
      <c r="D419" s="21">
        <f t="shared" si="120"/>
        <v>0</v>
      </c>
      <c r="E419" s="21">
        <v>0</v>
      </c>
      <c r="F419" s="21">
        <v>0</v>
      </c>
      <c r="G419" s="21">
        <v>0</v>
      </c>
      <c r="H419" s="21">
        <v>0</v>
      </c>
      <c r="I419" s="21">
        <v>0</v>
      </c>
      <c r="J419" s="21">
        <v>0</v>
      </c>
      <c r="K419" s="5">
        <v>0</v>
      </c>
      <c r="L419" s="3">
        <v>0</v>
      </c>
      <c r="M419" s="3">
        <v>348.8</v>
      </c>
      <c r="N419" s="3">
        <v>1848640</v>
      </c>
      <c r="O419" s="3">
        <v>0</v>
      </c>
      <c r="P419" s="3">
        <v>0</v>
      </c>
      <c r="Q419" s="3">
        <v>0</v>
      </c>
      <c r="R419" s="3">
        <v>0</v>
      </c>
      <c r="S419" s="3">
        <v>0</v>
      </c>
      <c r="T419" s="3">
        <v>0</v>
      </c>
      <c r="U419" s="3">
        <v>200000</v>
      </c>
      <c r="V419" s="13"/>
    </row>
    <row r="420" spans="1:22" ht="45" customHeight="1">
      <c r="A420" s="55" t="s">
        <v>131</v>
      </c>
      <c r="B420" s="55"/>
      <c r="C420" s="1">
        <f t="shared" si="93"/>
        <v>2215398.5</v>
      </c>
      <c r="D420" s="1">
        <f t="shared" ref="D420:U420" si="121">SUM(D421)</f>
        <v>109200</v>
      </c>
      <c r="E420" s="1">
        <f t="shared" si="121"/>
        <v>109200</v>
      </c>
      <c r="F420" s="1">
        <f t="shared" si="121"/>
        <v>0</v>
      </c>
      <c r="G420" s="1">
        <f t="shared" si="121"/>
        <v>0</v>
      </c>
      <c r="H420" s="1">
        <f t="shared" si="121"/>
        <v>0</v>
      </c>
      <c r="I420" s="1">
        <f t="shared" si="121"/>
        <v>0</v>
      </c>
      <c r="J420" s="1">
        <f t="shared" si="121"/>
        <v>0</v>
      </c>
      <c r="K420" s="42">
        <f t="shared" si="121"/>
        <v>0</v>
      </c>
      <c r="L420" s="1">
        <f t="shared" si="121"/>
        <v>0</v>
      </c>
      <c r="M420" s="1">
        <f t="shared" si="121"/>
        <v>282</v>
      </c>
      <c r="N420" s="1">
        <f t="shared" si="121"/>
        <v>1353600</v>
      </c>
      <c r="O420" s="1">
        <f t="shared" si="121"/>
        <v>0</v>
      </c>
      <c r="P420" s="1">
        <f t="shared" si="121"/>
        <v>0</v>
      </c>
      <c r="Q420" s="1">
        <f t="shared" si="121"/>
        <v>155.69999999999999</v>
      </c>
      <c r="R420" s="1">
        <f t="shared" si="121"/>
        <v>405598.5</v>
      </c>
      <c r="S420" s="1">
        <f t="shared" si="121"/>
        <v>147000</v>
      </c>
      <c r="T420" s="1">
        <f t="shared" si="121"/>
        <v>0</v>
      </c>
      <c r="U420" s="1">
        <f t="shared" si="121"/>
        <v>200000</v>
      </c>
      <c r="V420" s="13">
        <f>C420+C837</f>
        <v>4217398.5</v>
      </c>
    </row>
    <row r="421" spans="1:22" ht="21.95" customHeight="1">
      <c r="A421" s="17" t="s">
        <v>1002</v>
      </c>
      <c r="B421" s="24" t="s">
        <v>129</v>
      </c>
      <c r="C421" s="1">
        <f t="shared" si="93"/>
        <v>2215398.5</v>
      </c>
      <c r="D421" s="21">
        <f t="shared" ref="D421" si="122">SUM(E421:J421)</f>
        <v>109200</v>
      </c>
      <c r="E421" s="21">
        <f>350*[1]Прилож!$H$187</f>
        <v>109200</v>
      </c>
      <c r="F421" s="21">
        <f>800*0</f>
        <v>0</v>
      </c>
      <c r="G421" s="21">
        <f>350*0</f>
        <v>0</v>
      </c>
      <c r="H421" s="21">
        <f>500*0</f>
        <v>0</v>
      </c>
      <c r="I421" s="21">
        <f>400*0</f>
        <v>0</v>
      </c>
      <c r="J421" s="21">
        <v>0</v>
      </c>
      <c r="K421" s="5">
        <v>0</v>
      </c>
      <c r="L421" s="3">
        <v>0</v>
      </c>
      <c r="M421" s="3">
        <v>282</v>
      </c>
      <c r="N421" s="3">
        <v>1353600</v>
      </c>
      <c r="O421" s="3">
        <v>0</v>
      </c>
      <c r="P421" s="3">
        <v>0</v>
      </c>
      <c r="Q421" s="3">
        <v>155.69999999999999</v>
      </c>
      <c r="R421" s="3">
        <v>405598.5</v>
      </c>
      <c r="S421" s="3">
        <v>147000</v>
      </c>
      <c r="T421" s="3">
        <v>0</v>
      </c>
      <c r="U421" s="3">
        <v>200000</v>
      </c>
      <c r="V421" s="13"/>
    </row>
    <row r="422" spans="1:22" ht="45" customHeight="1">
      <c r="A422" s="55" t="s">
        <v>136</v>
      </c>
      <c r="B422" s="55"/>
      <c r="C422" s="1">
        <f t="shared" ref="C422:C485" si="123">D422+L422+N422+P422+R422+S422+T422+U422</f>
        <v>10937678</v>
      </c>
      <c r="D422" s="1">
        <f t="shared" ref="D422:U422" si="124">SUM(D423:D424)</f>
        <v>0</v>
      </c>
      <c r="E422" s="1">
        <f t="shared" si="124"/>
        <v>0</v>
      </c>
      <c r="F422" s="1">
        <f t="shared" si="124"/>
        <v>0</v>
      </c>
      <c r="G422" s="1">
        <f t="shared" si="124"/>
        <v>0</v>
      </c>
      <c r="H422" s="1">
        <f t="shared" si="124"/>
        <v>0</v>
      </c>
      <c r="I422" s="1">
        <f t="shared" si="124"/>
        <v>0</v>
      </c>
      <c r="J422" s="1">
        <f t="shared" si="124"/>
        <v>0</v>
      </c>
      <c r="K422" s="42">
        <f t="shared" si="124"/>
        <v>0</v>
      </c>
      <c r="L422" s="1">
        <f t="shared" si="124"/>
        <v>0</v>
      </c>
      <c r="M422" s="1">
        <f t="shared" si="124"/>
        <v>2460.2600000000002</v>
      </c>
      <c r="N422" s="1">
        <f t="shared" si="124"/>
        <v>10537678</v>
      </c>
      <c r="O422" s="1">
        <f t="shared" si="124"/>
        <v>0</v>
      </c>
      <c r="P422" s="1">
        <f t="shared" si="124"/>
        <v>0</v>
      </c>
      <c r="Q422" s="1">
        <f t="shared" si="124"/>
        <v>0</v>
      </c>
      <c r="R422" s="1">
        <f t="shared" si="124"/>
        <v>0</v>
      </c>
      <c r="S422" s="1">
        <f t="shared" si="124"/>
        <v>0</v>
      </c>
      <c r="T422" s="1">
        <f t="shared" si="124"/>
        <v>0</v>
      </c>
      <c r="U422" s="1">
        <f t="shared" si="124"/>
        <v>400000</v>
      </c>
    </row>
    <row r="423" spans="1:22" ht="21.95" customHeight="1">
      <c r="A423" s="19" t="s">
        <v>1003</v>
      </c>
      <c r="B423" s="24" t="s">
        <v>1930</v>
      </c>
      <c r="C423" s="1">
        <f t="shared" si="123"/>
        <v>5913300</v>
      </c>
      <c r="D423" s="21">
        <f t="shared" ref="D423:D424" si="125">SUM(E423:J423)</f>
        <v>0</v>
      </c>
      <c r="E423" s="21">
        <v>0</v>
      </c>
      <c r="F423" s="21">
        <v>0</v>
      </c>
      <c r="G423" s="21">
        <v>0</v>
      </c>
      <c r="H423" s="21">
        <v>0</v>
      </c>
      <c r="I423" s="21">
        <v>0</v>
      </c>
      <c r="J423" s="21">
        <v>0</v>
      </c>
      <c r="K423" s="40">
        <v>0</v>
      </c>
      <c r="L423" s="21">
        <v>0</v>
      </c>
      <c r="M423" s="21">
        <v>1550</v>
      </c>
      <c r="N423" s="21">
        <f>M423*3686</f>
        <v>5713300</v>
      </c>
      <c r="O423" s="21">
        <v>0</v>
      </c>
      <c r="P423" s="21">
        <v>0</v>
      </c>
      <c r="Q423" s="21">
        <v>0</v>
      </c>
      <c r="R423" s="3">
        <v>0</v>
      </c>
      <c r="S423" s="21">
        <v>0</v>
      </c>
      <c r="T423" s="21">
        <v>0</v>
      </c>
      <c r="U423" s="21">
        <v>200000</v>
      </c>
    </row>
    <row r="424" spans="1:22" ht="21.95" customHeight="1">
      <c r="A424" s="19" t="s">
        <v>1004</v>
      </c>
      <c r="B424" s="24" t="s">
        <v>132</v>
      </c>
      <c r="C424" s="1">
        <f t="shared" si="123"/>
        <v>5024378</v>
      </c>
      <c r="D424" s="21">
        <f t="shared" si="125"/>
        <v>0</v>
      </c>
      <c r="E424" s="21">
        <v>0</v>
      </c>
      <c r="F424" s="21">
        <v>0</v>
      </c>
      <c r="G424" s="21">
        <v>0</v>
      </c>
      <c r="H424" s="21">
        <v>0</v>
      </c>
      <c r="I424" s="21">
        <v>0</v>
      </c>
      <c r="J424" s="21">
        <v>0</v>
      </c>
      <c r="K424" s="40">
        <v>0</v>
      </c>
      <c r="L424" s="21">
        <v>0</v>
      </c>
      <c r="M424" s="21">
        <v>910.26</v>
      </c>
      <c r="N424" s="21">
        <v>4824378</v>
      </c>
      <c r="O424" s="21">
        <v>0</v>
      </c>
      <c r="P424" s="21">
        <v>0</v>
      </c>
      <c r="Q424" s="21">
        <v>0</v>
      </c>
      <c r="R424" s="3">
        <v>0</v>
      </c>
      <c r="S424" s="21">
        <v>0</v>
      </c>
      <c r="T424" s="21">
        <v>0</v>
      </c>
      <c r="U424" s="21">
        <v>200000</v>
      </c>
    </row>
    <row r="425" spans="1:22" ht="45" customHeight="1">
      <c r="A425" s="55" t="s">
        <v>1934</v>
      </c>
      <c r="B425" s="55"/>
      <c r="C425" s="1">
        <f t="shared" si="123"/>
        <v>5436590</v>
      </c>
      <c r="D425" s="1">
        <f t="shared" ref="D425:U425" si="126">SUM(D426:D427)</f>
        <v>0</v>
      </c>
      <c r="E425" s="1">
        <f t="shared" si="126"/>
        <v>0</v>
      </c>
      <c r="F425" s="1">
        <f t="shared" si="126"/>
        <v>0</v>
      </c>
      <c r="G425" s="1">
        <f t="shared" si="126"/>
        <v>0</v>
      </c>
      <c r="H425" s="1">
        <f t="shared" si="126"/>
        <v>0</v>
      </c>
      <c r="I425" s="1">
        <f t="shared" si="126"/>
        <v>0</v>
      </c>
      <c r="J425" s="1">
        <f t="shared" si="126"/>
        <v>0</v>
      </c>
      <c r="K425" s="42">
        <f t="shared" si="126"/>
        <v>0</v>
      </c>
      <c r="L425" s="1">
        <f t="shared" si="126"/>
        <v>0</v>
      </c>
      <c r="M425" s="1">
        <f t="shared" si="126"/>
        <v>950.3</v>
      </c>
      <c r="N425" s="1">
        <f t="shared" si="126"/>
        <v>5036590</v>
      </c>
      <c r="O425" s="1">
        <f t="shared" si="126"/>
        <v>0</v>
      </c>
      <c r="P425" s="1">
        <f t="shared" si="126"/>
        <v>0</v>
      </c>
      <c r="Q425" s="1">
        <f t="shared" si="126"/>
        <v>0</v>
      </c>
      <c r="R425" s="1">
        <f t="shared" si="126"/>
        <v>0</v>
      </c>
      <c r="S425" s="1">
        <f t="shared" si="126"/>
        <v>0</v>
      </c>
      <c r="T425" s="1">
        <f t="shared" si="126"/>
        <v>0</v>
      </c>
      <c r="U425" s="1">
        <f t="shared" si="126"/>
        <v>400000</v>
      </c>
      <c r="V425" s="13">
        <f>C425</f>
        <v>5436590</v>
      </c>
    </row>
    <row r="426" spans="1:22" ht="21.95" customHeight="1">
      <c r="A426" s="19" t="s">
        <v>1005</v>
      </c>
      <c r="B426" s="24" t="s">
        <v>133</v>
      </c>
      <c r="C426" s="1">
        <f t="shared" si="123"/>
        <v>3150987</v>
      </c>
      <c r="D426" s="21">
        <f t="shared" ref="D426:D427" si="127">SUM(E426:J426)</f>
        <v>0</v>
      </c>
      <c r="E426" s="21">
        <v>0</v>
      </c>
      <c r="F426" s="21">
        <v>0</v>
      </c>
      <c r="G426" s="21">
        <v>0</v>
      </c>
      <c r="H426" s="21">
        <v>0</v>
      </c>
      <c r="I426" s="21">
        <v>0</v>
      </c>
      <c r="J426" s="21">
        <v>0</v>
      </c>
      <c r="K426" s="40">
        <v>0</v>
      </c>
      <c r="L426" s="21">
        <v>0</v>
      </c>
      <c r="M426" s="21">
        <v>556.79</v>
      </c>
      <c r="N426" s="21">
        <v>2950987</v>
      </c>
      <c r="O426" s="21">
        <v>0</v>
      </c>
      <c r="P426" s="21">
        <v>0</v>
      </c>
      <c r="Q426" s="21">
        <v>0</v>
      </c>
      <c r="R426" s="21">
        <v>0</v>
      </c>
      <c r="S426" s="21">
        <v>0</v>
      </c>
      <c r="T426" s="21">
        <v>0</v>
      </c>
      <c r="U426" s="21">
        <v>200000</v>
      </c>
    </row>
    <row r="427" spans="1:22" ht="21.95" customHeight="1">
      <c r="A427" s="19" t="s">
        <v>1006</v>
      </c>
      <c r="B427" s="24" t="s">
        <v>134</v>
      </c>
      <c r="C427" s="1">
        <f t="shared" si="123"/>
        <v>2285603</v>
      </c>
      <c r="D427" s="21">
        <f t="shared" si="127"/>
        <v>0</v>
      </c>
      <c r="E427" s="21">
        <v>0</v>
      </c>
      <c r="F427" s="21">
        <v>0</v>
      </c>
      <c r="G427" s="21">
        <v>0</v>
      </c>
      <c r="H427" s="21">
        <v>0</v>
      </c>
      <c r="I427" s="21">
        <v>0</v>
      </c>
      <c r="J427" s="21">
        <v>0</v>
      </c>
      <c r="K427" s="40">
        <v>0</v>
      </c>
      <c r="L427" s="21">
        <v>0</v>
      </c>
      <c r="M427" s="21">
        <v>393.51</v>
      </c>
      <c r="N427" s="21">
        <v>2085603</v>
      </c>
      <c r="O427" s="21">
        <v>0</v>
      </c>
      <c r="P427" s="21">
        <v>0</v>
      </c>
      <c r="Q427" s="21">
        <v>0</v>
      </c>
      <c r="R427" s="3">
        <v>0</v>
      </c>
      <c r="S427" s="21">
        <v>0</v>
      </c>
      <c r="T427" s="21">
        <v>0</v>
      </c>
      <c r="U427" s="21">
        <v>200000</v>
      </c>
    </row>
    <row r="428" spans="1:22" ht="45" customHeight="1">
      <c r="A428" s="55" t="s">
        <v>139</v>
      </c>
      <c r="B428" s="55"/>
      <c r="C428" s="1">
        <f t="shared" si="123"/>
        <v>3075000</v>
      </c>
      <c r="D428" s="1">
        <f t="shared" ref="D428:U428" si="128">SUM(D429:D431)</f>
        <v>0</v>
      </c>
      <c r="E428" s="1">
        <f t="shared" si="128"/>
        <v>0</v>
      </c>
      <c r="F428" s="1">
        <f t="shared" si="128"/>
        <v>0</v>
      </c>
      <c r="G428" s="1">
        <f t="shared" si="128"/>
        <v>0</v>
      </c>
      <c r="H428" s="1">
        <f t="shared" si="128"/>
        <v>0</v>
      </c>
      <c r="I428" s="1">
        <f t="shared" si="128"/>
        <v>0</v>
      </c>
      <c r="J428" s="1">
        <f t="shared" si="128"/>
        <v>0</v>
      </c>
      <c r="K428" s="42">
        <f t="shared" si="128"/>
        <v>0</v>
      </c>
      <c r="L428" s="1">
        <f t="shared" si="128"/>
        <v>0</v>
      </c>
      <c r="M428" s="1">
        <f t="shared" si="128"/>
        <v>750</v>
      </c>
      <c r="N428" s="1">
        <f t="shared" si="128"/>
        <v>2475000</v>
      </c>
      <c r="O428" s="1">
        <f t="shared" si="128"/>
        <v>0</v>
      </c>
      <c r="P428" s="1">
        <f t="shared" si="128"/>
        <v>0</v>
      </c>
      <c r="Q428" s="1">
        <f t="shared" si="128"/>
        <v>0</v>
      </c>
      <c r="R428" s="1">
        <f t="shared" si="128"/>
        <v>0</v>
      </c>
      <c r="S428" s="1">
        <f t="shared" si="128"/>
        <v>0</v>
      </c>
      <c r="T428" s="1">
        <f t="shared" si="128"/>
        <v>0</v>
      </c>
      <c r="U428" s="1">
        <f t="shared" si="128"/>
        <v>600000</v>
      </c>
    </row>
    <row r="429" spans="1:22" ht="21.95" customHeight="1">
      <c r="A429" s="17" t="s">
        <v>1007</v>
      </c>
      <c r="B429" s="24" t="s">
        <v>1529</v>
      </c>
      <c r="C429" s="1">
        <f t="shared" si="123"/>
        <v>1025000</v>
      </c>
      <c r="D429" s="21">
        <f t="shared" ref="D429:D431" si="129">SUM(E429:J429)</f>
        <v>0</v>
      </c>
      <c r="E429" s="21">
        <v>0</v>
      </c>
      <c r="F429" s="21">
        <v>0</v>
      </c>
      <c r="G429" s="21">
        <v>0</v>
      </c>
      <c r="H429" s="21">
        <v>0</v>
      </c>
      <c r="I429" s="21">
        <v>0</v>
      </c>
      <c r="J429" s="21">
        <v>0</v>
      </c>
      <c r="K429" s="5">
        <v>0</v>
      </c>
      <c r="L429" s="3">
        <v>0</v>
      </c>
      <c r="M429" s="3">
        <v>250</v>
      </c>
      <c r="N429" s="3">
        <f>M429*3300</f>
        <v>825000</v>
      </c>
      <c r="O429" s="3">
        <v>0</v>
      </c>
      <c r="P429" s="3">
        <v>0</v>
      </c>
      <c r="Q429" s="3">
        <v>0</v>
      </c>
      <c r="R429" s="3">
        <v>0</v>
      </c>
      <c r="S429" s="3">
        <v>0</v>
      </c>
      <c r="T429" s="3">
        <v>0</v>
      </c>
      <c r="U429" s="3">
        <v>200000</v>
      </c>
    </row>
    <row r="430" spans="1:22" ht="21.95" customHeight="1">
      <c r="A430" s="17" t="s">
        <v>1008</v>
      </c>
      <c r="B430" s="24" t="s">
        <v>143</v>
      </c>
      <c r="C430" s="1">
        <f t="shared" si="123"/>
        <v>1025000</v>
      </c>
      <c r="D430" s="21">
        <f t="shared" si="129"/>
        <v>0</v>
      </c>
      <c r="E430" s="21">
        <v>0</v>
      </c>
      <c r="F430" s="21">
        <v>0</v>
      </c>
      <c r="G430" s="21">
        <v>0</v>
      </c>
      <c r="H430" s="21">
        <v>0</v>
      </c>
      <c r="I430" s="21">
        <v>0</v>
      </c>
      <c r="J430" s="21">
        <v>0</v>
      </c>
      <c r="K430" s="40">
        <v>0</v>
      </c>
      <c r="L430" s="21">
        <v>0</v>
      </c>
      <c r="M430" s="21">
        <v>250</v>
      </c>
      <c r="N430" s="21">
        <v>825000</v>
      </c>
      <c r="O430" s="21">
        <v>0</v>
      </c>
      <c r="P430" s="21">
        <v>0</v>
      </c>
      <c r="Q430" s="21">
        <v>0</v>
      </c>
      <c r="R430" s="21">
        <v>0</v>
      </c>
      <c r="S430" s="21">
        <v>0</v>
      </c>
      <c r="T430" s="21">
        <v>0</v>
      </c>
      <c r="U430" s="21">
        <v>200000</v>
      </c>
    </row>
    <row r="431" spans="1:22" ht="21.95" customHeight="1">
      <c r="A431" s="17" t="s">
        <v>1009</v>
      </c>
      <c r="B431" s="24" t="s">
        <v>144</v>
      </c>
      <c r="C431" s="1">
        <f t="shared" si="123"/>
        <v>1025000</v>
      </c>
      <c r="D431" s="21">
        <f t="shared" si="129"/>
        <v>0</v>
      </c>
      <c r="E431" s="21">
        <v>0</v>
      </c>
      <c r="F431" s="21">
        <v>0</v>
      </c>
      <c r="G431" s="21">
        <v>0</v>
      </c>
      <c r="H431" s="21">
        <v>0</v>
      </c>
      <c r="I431" s="21">
        <v>0</v>
      </c>
      <c r="J431" s="21">
        <v>0</v>
      </c>
      <c r="K431" s="40">
        <v>0</v>
      </c>
      <c r="L431" s="21">
        <v>0</v>
      </c>
      <c r="M431" s="21">
        <v>250</v>
      </c>
      <c r="N431" s="21">
        <v>825000</v>
      </c>
      <c r="O431" s="21">
        <v>0</v>
      </c>
      <c r="P431" s="21">
        <v>0</v>
      </c>
      <c r="Q431" s="21">
        <v>0</v>
      </c>
      <c r="R431" s="21">
        <v>0</v>
      </c>
      <c r="S431" s="21">
        <v>0</v>
      </c>
      <c r="T431" s="21">
        <v>0</v>
      </c>
      <c r="U431" s="21">
        <v>200000</v>
      </c>
    </row>
    <row r="432" spans="1:22" ht="45" customHeight="1">
      <c r="A432" s="55" t="s">
        <v>145</v>
      </c>
      <c r="B432" s="55"/>
      <c r="C432" s="1">
        <f t="shared" si="123"/>
        <v>3788767</v>
      </c>
      <c r="D432" s="1">
        <f t="shared" ref="D432:U432" si="130">SUM(D433:D434)</f>
        <v>0</v>
      </c>
      <c r="E432" s="1">
        <f t="shared" si="130"/>
        <v>0</v>
      </c>
      <c r="F432" s="1">
        <f t="shared" si="130"/>
        <v>0</v>
      </c>
      <c r="G432" s="1">
        <f t="shared" si="130"/>
        <v>0</v>
      </c>
      <c r="H432" s="1">
        <f t="shared" si="130"/>
        <v>0</v>
      </c>
      <c r="I432" s="1">
        <f t="shared" si="130"/>
        <v>0</v>
      </c>
      <c r="J432" s="1">
        <f t="shared" si="130"/>
        <v>0</v>
      </c>
      <c r="K432" s="42">
        <f t="shared" si="130"/>
        <v>0</v>
      </c>
      <c r="L432" s="1">
        <f t="shared" si="130"/>
        <v>0</v>
      </c>
      <c r="M432" s="1">
        <f t="shared" si="130"/>
        <v>639.39</v>
      </c>
      <c r="N432" s="1">
        <f t="shared" si="130"/>
        <v>3388767</v>
      </c>
      <c r="O432" s="1">
        <f t="shared" si="130"/>
        <v>0</v>
      </c>
      <c r="P432" s="1">
        <f t="shared" si="130"/>
        <v>0</v>
      </c>
      <c r="Q432" s="1">
        <f t="shared" si="130"/>
        <v>0</v>
      </c>
      <c r="R432" s="1">
        <f t="shared" si="130"/>
        <v>0</v>
      </c>
      <c r="S432" s="1">
        <f t="shared" si="130"/>
        <v>0</v>
      </c>
      <c r="T432" s="1">
        <f t="shared" si="130"/>
        <v>0</v>
      </c>
      <c r="U432" s="1">
        <f t="shared" si="130"/>
        <v>400000</v>
      </c>
    </row>
    <row r="433" spans="1:22" ht="21.95" customHeight="1">
      <c r="A433" s="19" t="s">
        <v>1010</v>
      </c>
      <c r="B433" s="24" t="s">
        <v>146</v>
      </c>
      <c r="C433" s="1">
        <f t="shared" si="123"/>
        <v>2073656</v>
      </c>
      <c r="D433" s="21">
        <f t="shared" ref="D433:D434" si="131">SUM(E433:J433)</f>
        <v>0</v>
      </c>
      <c r="E433" s="21">
        <v>0</v>
      </c>
      <c r="F433" s="21">
        <v>0</v>
      </c>
      <c r="G433" s="21">
        <v>0</v>
      </c>
      <c r="H433" s="21">
        <v>0</v>
      </c>
      <c r="I433" s="21">
        <v>0</v>
      </c>
      <c r="J433" s="21">
        <v>0</v>
      </c>
      <c r="K433" s="40">
        <v>0</v>
      </c>
      <c r="L433" s="21">
        <v>0</v>
      </c>
      <c r="M433" s="21">
        <v>353.52</v>
      </c>
      <c r="N433" s="21">
        <v>1873656</v>
      </c>
      <c r="O433" s="21">
        <v>0</v>
      </c>
      <c r="P433" s="21">
        <v>0</v>
      </c>
      <c r="Q433" s="21">
        <v>0</v>
      </c>
      <c r="R433" s="21">
        <v>0</v>
      </c>
      <c r="S433" s="21">
        <v>0</v>
      </c>
      <c r="T433" s="21">
        <v>0</v>
      </c>
      <c r="U433" s="21">
        <v>200000</v>
      </c>
    </row>
    <row r="434" spans="1:22" ht="21.95" customHeight="1">
      <c r="A434" s="19" t="s">
        <v>1011</v>
      </c>
      <c r="B434" s="24" t="s">
        <v>1520</v>
      </c>
      <c r="C434" s="1">
        <f t="shared" si="123"/>
        <v>1715111</v>
      </c>
      <c r="D434" s="21">
        <f t="shared" si="131"/>
        <v>0</v>
      </c>
      <c r="E434" s="21">
        <v>0</v>
      </c>
      <c r="F434" s="21">
        <v>0</v>
      </c>
      <c r="G434" s="21">
        <v>0</v>
      </c>
      <c r="H434" s="21">
        <v>0</v>
      </c>
      <c r="I434" s="21">
        <v>0</v>
      </c>
      <c r="J434" s="21">
        <v>0</v>
      </c>
      <c r="K434" s="40">
        <v>0</v>
      </c>
      <c r="L434" s="21">
        <v>0</v>
      </c>
      <c r="M434" s="21">
        <v>285.87</v>
      </c>
      <c r="N434" s="21">
        <f>M434*5300</f>
        <v>1515111</v>
      </c>
      <c r="O434" s="21">
        <v>0</v>
      </c>
      <c r="P434" s="21">
        <v>0</v>
      </c>
      <c r="Q434" s="21">
        <v>0</v>
      </c>
      <c r="R434" s="21">
        <v>0</v>
      </c>
      <c r="S434" s="21">
        <v>0</v>
      </c>
      <c r="T434" s="21">
        <v>0</v>
      </c>
      <c r="U434" s="21">
        <v>200000</v>
      </c>
    </row>
    <row r="435" spans="1:22" ht="45" customHeight="1">
      <c r="A435" s="55" t="s">
        <v>148</v>
      </c>
      <c r="B435" s="55"/>
      <c r="C435" s="1">
        <f t="shared" si="123"/>
        <v>2180800</v>
      </c>
      <c r="D435" s="1">
        <f t="shared" ref="D435:U435" si="132">SUM(D436:D437)</f>
        <v>0</v>
      </c>
      <c r="E435" s="1">
        <f t="shared" si="132"/>
        <v>0</v>
      </c>
      <c r="F435" s="1">
        <f t="shared" si="132"/>
        <v>0</v>
      </c>
      <c r="G435" s="1">
        <f t="shared" si="132"/>
        <v>0</v>
      </c>
      <c r="H435" s="1">
        <f t="shared" si="132"/>
        <v>0</v>
      </c>
      <c r="I435" s="1">
        <f t="shared" si="132"/>
        <v>0</v>
      </c>
      <c r="J435" s="1">
        <f t="shared" si="132"/>
        <v>0</v>
      </c>
      <c r="K435" s="42">
        <f t="shared" si="132"/>
        <v>0</v>
      </c>
      <c r="L435" s="1">
        <f t="shared" si="132"/>
        <v>0</v>
      </c>
      <c r="M435" s="1">
        <f t="shared" si="132"/>
        <v>336</v>
      </c>
      <c r="N435" s="1">
        <f t="shared" si="132"/>
        <v>1780800</v>
      </c>
      <c r="O435" s="1">
        <f t="shared" si="132"/>
        <v>0</v>
      </c>
      <c r="P435" s="1">
        <f t="shared" si="132"/>
        <v>0</v>
      </c>
      <c r="Q435" s="1">
        <f t="shared" si="132"/>
        <v>0</v>
      </c>
      <c r="R435" s="1">
        <f t="shared" si="132"/>
        <v>0</v>
      </c>
      <c r="S435" s="1">
        <f t="shared" si="132"/>
        <v>0</v>
      </c>
      <c r="T435" s="1">
        <f t="shared" si="132"/>
        <v>0</v>
      </c>
      <c r="U435" s="1">
        <f t="shared" si="132"/>
        <v>400000</v>
      </c>
      <c r="V435" s="13">
        <f>C435</f>
        <v>2180800</v>
      </c>
    </row>
    <row r="436" spans="1:22" ht="21.95" customHeight="1">
      <c r="A436" s="19" t="s">
        <v>1012</v>
      </c>
      <c r="B436" s="24" t="s">
        <v>149</v>
      </c>
      <c r="C436" s="1">
        <f t="shared" si="123"/>
        <v>995000</v>
      </c>
      <c r="D436" s="21">
        <f t="shared" ref="D436:D437" si="133">SUM(E436:J436)</f>
        <v>0</v>
      </c>
      <c r="E436" s="21">
        <v>0</v>
      </c>
      <c r="F436" s="21">
        <v>0</v>
      </c>
      <c r="G436" s="21">
        <v>0</v>
      </c>
      <c r="H436" s="21">
        <v>0</v>
      </c>
      <c r="I436" s="21">
        <v>0</v>
      </c>
      <c r="J436" s="21">
        <v>0</v>
      </c>
      <c r="K436" s="40">
        <v>0</v>
      </c>
      <c r="L436" s="21">
        <v>0</v>
      </c>
      <c r="M436" s="21">
        <v>150</v>
      </c>
      <c r="N436" s="21">
        <v>795000</v>
      </c>
      <c r="O436" s="21">
        <v>0</v>
      </c>
      <c r="P436" s="21">
        <v>0</v>
      </c>
      <c r="Q436" s="21">
        <v>0</v>
      </c>
      <c r="R436" s="21">
        <v>0</v>
      </c>
      <c r="S436" s="21">
        <v>0</v>
      </c>
      <c r="T436" s="21">
        <v>0</v>
      </c>
      <c r="U436" s="21">
        <v>200000</v>
      </c>
    </row>
    <row r="437" spans="1:22" ht="21.95" customHeight="1">
      <c r="A437" s="19" t="s">
        <v>1013</v>
      </c>
      <c r="B437" s="24" t="s">
        <v>150</v>
      </c>
      <c r="C437" s="1">
        <f t="shared" si="123"/>
        <v>1185800</v>
      </c>
      <c r="D437" s="21">
        <f t="shared" si="133"/>
        <v>0</v>
      </c>
      <c r="E437" s="21">
        <v>0</v>
      </c>
      <c r="F437" s="21">
        <v>0</v>
      </c>
      <c r="G437" s="21">
        <v>0</v>
      </c>
      <c r="H437" s="21">
        <v>0</v>
      </c>
      <c r="I437" s="21">
        <v>0</v>
      </c>
      <c r="J437" s="21">
        <v>0</v>
      </c>
      <c r="K437" s="40">
        <v>0</v>
      </c>
      <c r="L437" s="21">
        <v>0</v>
      </c>
      <c r="M437" s="21">
        <v>186</v>
      </c>
      <c r="N437" s="21">
        <v>985800</v>
      </c>
      <c r="O437" s="21">
        <v>0</v>
      </c>
      <c r="P437" s="21">
        <v>0</v>
      </c>
      <c r="Q437" s="21">
        <v>0</v>
      </c>
      <c r="R437" s="21">
        <v>0</v>
      </c>
      <c r="S437" s="21">
        <v>0</v>
      </c>
      <c r="T437" s="21">
        <v>0</v>
      </c>
      <c r="U437" s="21">
        <v>200000</v>
      </c>
    </row>
    <row r="438" spans="1:22" ht="45" customHeight="1">
      <c r="A438" s="55" t="s">
        <v>154</v>
      </c>
      <c r="B438" s="55"/>
      <c r="C438" s="1">
        <f t="shared" si="123"/>
        <v>17034957.949999999</v>
      </c>
      <c r="D438" s="1">
        <f t="shared" ref="D438:U438" si="134">SUM(D439:D444)</f>
        <v>0</v>
      </c>
      <c r="E438" s="1">
        <f t="shared" si="134"/>
        <v>0</v>
      </c>
      <c r="F438" s="1">
        <f t="shared" si="134"/>
        <v>0</v>
      </c>
      <c r="G438" s="1">
        <f t="shared" si="134"/>
        <v>0</v>
      </c>
      <c r="H438" s="1">
        <f t="shared" si="134"/>
        <v>0</v>
      </c>
      <c r="I438" s="1">
        <f t="shared" si="134"/>
        <v>0</v>
      </c>
      <c r="J438" s="1">
        <f t="shared" si="134"/>
        <v>0</v>
      </c>
      <c r="K438" s="42">
        <f t="shared" si="134"/>
        <v>0</v>
      </c>
      <c r="L438" s="1">
        <f t="shared" si="134"/>
        <v>0</v>
      </c>
      <c r="M438" s="1">
        <f t="shared" si="134"/>
        <v>1838</v>
      </c>
      <c r="N438" s="1">
        <f t="shared" si="134"/>
        <v>9741400</v>
      </c>
      <c r="O438" s="1">
        <f t="shared" si="134"/>
        <v>0</v>
      </c>
      <c r="P438" s="1">
        <f t="shared" si="134"/>
        <v>0</v>
      </c>
      <c r="Q438" s="1">
        <f t="shared" si="134"/>
        <v>2300.79</v>
      </c>
      <c r="R438" s="1">
        <f t="shared" si="134"/>
        <v>5993557.9500000002</v>
      </c>
      <c r="S438" s="1">
        <f t="shared" si="134"/>
        <v>0</v>
      </c>
      <c r="T438" s="1">
        <f t="shared" si="134"/>
        <v>0</v>
      </c>
      <c r="U438" s="1">
        <f t="shared" si="134"/>
        <v>1300000</v>
      </c>
    </row>
    <row r="439" spans="1:22" ht="21.95" customHeight="1">
      <c r="A439" s="19" t="s">
        <v>1014</v>
      </c>
      <c r="B439" s="24" t="s">
        <v>155</v>
      </c>
      <c r="C439" s="1">
        <f t="shared" si="123"/>
        <v>2500200</v>
      </c>
      <c r="D439" s="21">
        <f t="shared" ref="D439:D444" si="135">SUM(E439:J439)</f>
        <v>0</v>
      </c>
      <c r="E439" s="21">
        <v>0</v>
      </c>
      <c r="F439" s="21">
        <v>0</v>
      </c>
      <c r="G439" s="21">
        <v>0</v>
      </c>
      <c r="H439" s="21">
        <v>0</v>
      </c>
      <c r="I439" s="21">
        <v>0</v>
      </c>
      <c r="J439" s="21">
        <v>0</v>
      </c>
      <c r="K439" s="40">
        <v>0</v>
      </c>
      <c r="L439" s="21">
        <v>0</v>
      </c>
      <c r="M439" s="21">
        <v>434</v>
      </c>
      <c r="N439" s="21">
        <v>2300200</v>
      </c>
      <c r="O439" s="21">
        <v>0</v>
      </c>
      <c r="P439" s="21">
        <v>0</v>
      </c>
      <c r="Q439" s="21">
        <v>0</v>
      </c>
      <c r="R439" s="21">
        <v>0</v>
      </c>
      <c r="S439" s="21">
        <v>0</v>
      </c>
      <c r="T439" s="21">
        <v>0</v>
      </c>
      <c r="U439" s="21">
        <v>200000</v>
      </c>
    </row>
    <row r="440" spans="1:22" ht="21.95" customHeight="1">
      <c r="A440" s="19" t="s">
        <v>1015</v>
      </c>
      <c r="B440" s="24" t="s">
        <v>156</v>
      </c>
      <c r="C440" s="1">
        <f t="shared" si="123"/>
        <v>2500200</v>
      </c>
      <c r="D440" s="21">
        <f t="shared" si="135"/>
        <v>0</v>
      </c>
      <c r="E440" s="21">
        <v>0</v>
      </c>
      <c r="F440" s="21">
        <v>0</v>
      </c>
      <c r="G440" s="21">
        <v>0</v>
      </c>
      <c r="H440" s="21">
        <v>0</v>
      </c>
      <c r="I440" s="21">
        <v>0</v>
      </c>
      <c r="J440" s="21">
        <v>0</v>
      </c>
      <c r="K440" s="40">
        <v>0</v>
      </c>
      <c r="L440" s="21">
        <v>0</v>
      </c>
      <c r="M440" s="21">
        <v>434</v>
      </c>
      <c r="N440" s="21">
        <v>2300200</v>
      </c>
      <c r="O440" s="21">
        <v>0</v>
      </c>
      <c r="P440" s="21">
        <v>0</v>
      </c>
      <c r="Q440" s="21">
        <v>0</v>
      </c>
      <c r="R440" s="21">
        <v>0</v>
      </c>
      <c r="S440" s="21">
        <v>0</v>
      </c>
      <c r="T440" s="21">
        <v>0</v>
      </c>
      <c r="U440" s="21">
        <v>200000</v>
      </c>
    </row>
    <row r="441" spans="1:22" ht="21.95" customHeight="1">
      <c r="A441" s="19" t="s">
        <v>1016</v>
      </c>
      <c r="B441" s="24" t="s">
        <v>157</v>
      </c>
      <c r="C441" s="1">
        <f t="shared" si="123"/>
        <v>2161000</v>
      </c>
      <c r="D441" s="21">
        <f t="shared" si="135"/>
        <v>0</v>
      </c>
      <c r="E441" s="21">
        <v>0</v>
      </c>
      <c r="F441" s="21">
        <v>0</v>
      </c>
      <c r="G441" s="21">
        <v>0</v>
      </c>
      <c r="H441" s="21">
        <v>0</v>
      </c>
      <c r="I441" s="21">
        <v>0</v>
      </c>
      <c r="J441" s="21">
        <v>0</v>
      </c>
      <c r="K441" s="40">
        <v>0</v>
      </c>
      <c r="L441" s="21">
        <v>0</v>
      </c>
      <c r="M441" s="21">
        <v>370</v>
      </c>
      <c r="N441" s="21">
        <v>1961000</v>
      </c>
      <c r="O441" s="21">
        <v>0</v>
      </c>
      <c r="P441" s="21">
        <v>0</v>
      </c>
      <c r="Q441" s="21">
        <v>0</v>
      </c>
      <c r="R441" s="21">
        <v>0</v>
      </c>
      <c r="S441" s="21">
        <v>0</v>
      </c>
      <c r="T441" s="21">
        <v>0</v>
      </c>
      <c r="U441" s="21">
        <v>200000</v>
      </c>
    </row>
    <row r="442" spans="1:22" ht="21.95" customHeight="1">
      <c r="A442" s="19" t="s">
        <v>1017</v>
      </c>
      <c r="B442" s="24" t="s">
        <v>158</v>
      </c>
      <c r="C442" s="1">
        <f t="shared" si="123"/>
        <v>300000</v>
      </c>
      <c r="D442" s="21">
        <f t="shared" si="135"/>
        <v>0</v>
      </c>
      <c r="E442" s="21">
        <v>0</v>
      </c>
      <c r="F442" s="21">
        <v>0</v>
      </c>
      <c r="G442" s="21">
        <v>0</v>
      </c>
      <c r="H442" s="21">
        <v>0</v>
      </c>
      <c r="I442" s="21">
        <v>0</v>
      </c>
      <c r="J442" s="21">
        <v>0</v>
      </c>
      <c r="K442" s="40">
        <v>0</v>
      </c>
      <c r="L442" s="21">
        <v>0</v>
      </c>
      <c r="M442" s="21">
        <v>0</v>
      </c>
      <c r="N442" s="21">
        <v>0</v>
      </c>
      <c r="O442" s="21">
        <v>0</v>
      </c>
      <c r="P442" s="21">
        <v>0</v>
      </c>
      <c r="Q442" s="21">
        <v>0</v>
      </c>
      <c r="R442" s="21">
        <v>0</v>
      </c>
      <c r="S442" s="21">
        <v>0</v>
      </c>
      <c r="T442" s="21">
        <v>0</v>
      </c>
      <c r="U442" s="21">
        <v>300000</v>
      </c>
    </row>
    <row r="443" spans="1:22" ht="21.95" customHeight="1">
      <c r="A443" s="19" t="s">
        <v>1354</v>
      </c>
      <c r="B443" s="24" t="s">
        <v>1335</v>
      </c>
      <c r="C443" s="1">
        <f t="shared" si="123"/>
        <v>3380000</v>
      </c>
      <c r="D443" s="21">
        <f t="shared" si="135"/>
        <v>0</v>
      </c>
      <c r="E443" s="21">
        <v>0</v>
      </c>
      <c r="F443" s="21">
        <v>0</v>
      </c>
      <c r="G443" s="21">
        <v>0</v>
      </c>
      <c r="H443" s="21">
        <v>0</v>
      </c>
      <c r="I443" s="21">
        <v>0</v>
      </c>
      <c r="J443" s="21">
        <v>0</v>
      </c>
      <c r="K443" s="40">
        <v>0</v>
      </c>
      <c r="L443" s="21">
        <v>0</v>
      </c>
      <c r="M443" s="21">
        <v>600</v>
      </c>
      <c r="N443" s="21">
        <v>3180000</v>
      </c>
      <c r="O443" s="21">
        <v>0</v>
      </c>
      <c r="P443" s="21">
        <v>0</v>
      </c>
      <c r="Q443" s="21">
        <v>0</v>
      </c>
      <c r="R443" s="21">
        <v>0</v>
      </c>
      <c r="S443" s="21">
        <v>0</v>
      </c>
      <c r="T443" s="21">
        <v>0</v>
      </c>
      <c r="U443" s="21">
        <v>200000</v>
      </c>
    </row>
    <row r="444" spans="1:22" ht="21.95" customHeight="1">
      <c r="A444" s="19" t="s">
        <v>1355</v>
      </c>
      <c r="B444" s="24" t="s">
        <v>1336</v>
      </c>
      <c r="C444" s="1">
        <f t="shared" si="123"/>
        <v>6193557.9500000002</v>
      </c>
      <c r="D444" s="21">
        <f t="shared" si="135"/>
        <v>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1">
        <v>0</v>
      </c>
      <c r="K444" s="40">
        <v>0</v>
      </c>
      <c r="L444" s="21">
        <v>0</v>
      </c>
      <c r="M444" s="21">
        <v>0</v>
      </c>
      <c r="N444" s="21">
        <v>0</v>
      </c>
      <c r="O444" s="21">
        <v>0</v>
      </c>
      <c r="P444" s="21">
        <v>0</v>
      </c>
      <c r="Q444" s="21">
        <v>2300.79</v>
      </c>
      <c r="R444" s="21">
        <v>5993557.9500000002</v>
      </c>
      <c r="S444" s="21">
        <v>0</v>
      </c>
      <c r="T444" s="21">
        <v>0</v>
      </c>
      <c r="U444" s="21">
        <v>200000</v>
      </c>
    </row>
    <row r="445" spans="1:22" ht="45" customHeight="1">
      <c r="A445" s="55" t="s">
        <v>1966</v>
      </c>
      <c r="B445" s="55"/>
      <c r="C445" s="1">
        <f t="shared" si="123"/>
        <v>1467442</v>
      </c>
      <c r="D445" s="1">
        <f t="shared" ref="D445:U445" si="136">SUM(D446)</f>
        <v>0</v>
      </c>
      <c r="E445" s="1">
        <f t="shared" si="136"/>
        <v>0</v>
      </c>
      <c r="F445" s="1">
        <f t="shared" si="136"/>
        <v>0</v>
      </c>
      <c r="G445" s="1">
        <f t="shared" si="136"/>
        <v>0</v>
      </c>
      <c r="H445" s="1">
        <f t="shared" si="136"/>
        <v>0</v>
      </c>
      <c r="I445" s="1">
        <f t="shared" si="136"/>
        <v>0</v>
      </c>
      <c r="J445" s="1">
        <f t="shared" si="136"/>
        <v>0</v>
      </c>
      <c r="K445" s="42">
        <f t="shared" si="136"/>
        <v>0</v>
      </c>
      <c r="L445" s="1">
        <f t="shared" si="136"/>
        <v>0</v>
      </c>
      <c r="M445" s="1">
        <f t="shared" si="136"/>
        <v>239.14</v>
      </c>
      <c r="N445" s="1">
        <f t="shared" si="136"/>
        <v>1267442</v>
      </c>
      <c r="O445" s="1">
        <f t="shared" si="136"/>
        <v>0</v>
      </c>
      <c r="P445" s="1">
        <f t="shared" si="136"/>
        <v>0</v>
      </c>
      <c r="Q445" s="1">
        <f t="shared" si="136"/>
        <v>0</v>
      </c>
      <c r="R445" s="1">
        <f t="shared" si="136"/>
        <v>0</v>
      </c>
      <c r="S445" s="1">
        <f t="shared" si="136"/>
        <v>0</v>
      </c>
      <c r="T445" s="1">
        <f t="shared" si="136"/>
        <v>0</v>
      </c>
      <c r="U445" s="1">
        <f t="shared" si="136"/>
        <v>200000</v>
      </c>
    </row>
    <row r="446" spans="1:22" ht="21.95" customHeight="1">
      <c r="A446" s="19" t="s">
        <v>1356</v>
      </c>
      <c r="B446" s="24" t="s">
        <v>165</v>
      </c>
      <c r="C446" s="1">
        <f t="shared" si="123"/>
        <v>1467442</v>
      </c>
      <c r="D446" s="21">
        <f t="shared" ref="D446" si="137">SUM(E446:J446)</f>
        <v>0</v>
      </c>
      <c r="E446" s="21">
        <v>0</v>
      </c>
      <c r="F446" s="21">
        <v>0</v>
      </c>
      <c r="G446" s="21">
        <v>0</v>
      </c>
      <c r="H446" s="21">
        <v>0</v>
      </c>
      <c r="I446" s="21">
        <v>0</v>
      </c>
      <c r="J446" s="21">
        <v>0</v>
      </c>
      <c r="K446" s="40">
        <v>0</v>
      </c>
      <c r="L446" s="21">
        <v>0</v>
      </c>
      <c r="M446" s="21">
        <v>239.14</v>
      </c>
      <c r="N446" s="21">
        <v>1267442</v>
      </c>
      <c r="O446" s="21">
        <v>0</v>
      </c>
      <c r="P446" s="21">
        <v>0</v>
      </c>
      <c r="Q446" s="21">
        <v>0</v>
      </c>
      <c r="R446" s="3">
        <v>0</v>
      </c>
      <c r="S446" s="21">
        <v>0</v>
      </c>
      <c r="T446" s="21">
        <v>0</v>
      </c>
      <c r="U446" s="21">
        <v>200000</v>
      </c>
    </row>
    <row r="447" spans="1:22" ht="45" customHeight="1">
      <c r="A447" s="55" t="s">
        <v>169</v>
      </c>
      <c r="B447" s="55"/>
      <c r="C447" s="1">
        <f t="shared" si="123"/>
        <v>119600427.5</v>
      </c>
      <c r="D447" s="1">
        <f t="shared" ref="D447:U447" si="138">SUM(D448:D466)</f>
        <v>18535935</v>
      </c>
      <c r="E447" s="1">
        <f t="shared" si="138"/>
        <v>3858505</v>
      </c>
      <c r="F447" s="1">
        <f t="shared" si="138"/>
        <v>6647680</v>
      </c>
      <c r="G447" s="1">
        <f t="shared" si="138"/>
        <v>3197250</v>
      </c>
      <c r="H447" s="1">
        <f t="shared" si="138"/>
        <v>569500</v>
      </c>
      <c r="I447" s="1">
        <f t="shared" si="138"/>
        <v>4263000</v>
      </c>
      <c r="J447" s="1">
        <f t="shared" si="138"/>
        <v>0</v>
      </c>
      <c r="K447" s="42">
        <f t="shared" si="138"/>
        <v>4</v>
      </c>
      <c r="L447" s="1">
        <f t="shared" si="138"/>
        <v>8600000</v>
      </c>
      <c r="M447" s="1">
        <f t="shared" si="138"/>
        <v>8696.6</v>
      </c>
      <c r="N447" s="1">
        <f t="shared" si="138"/>
        <v>43209980</v>
      </c>
      <c r="O447" s="1">
        <f t="shared" si="138"/>
        <v>0</v>
      </c>
      <c r="P447" s="1">
        <f t="shared" si="138"/>
        <v>0</v>
      </c>
      <c r="Q447" s="1">
        <f t="shared" si="138"/>
        <v>17602.5</v>
      </c>
      <c r="R447" s="1">
        <f t="shared" si="138"/>
        <v>45854512.5</v>
      </c>
      <c r="S447" s="1">
        <f t="shared" si="138"/>
        <v>0</v>
      </c>
      <c r="T447" s="1">
        <f t="shared" si="138"/>
        <v>0</v>
      </c>
      <c r="U447" s="1">
        <f t="shared" si="138"/>
        <v>3400000</v>
      </c>
    </row>
    <row r="448" spans="1:22" ht="21.95" customHeight="1">
      <c r="A448" s="19" t="s">
        <v>1357</v>
      </c>
      <c r="B448" s="28" t="s">
        <v>174</v>
      </c>
      <c r="C448" s="1">
        <f t="shared" si="123"/>
        <v>14492205</v>
      </c>
      <c r="D448" s="21">
        <f t="shared" ref="D448:D466" si="139">SUM(E448:J448)</f>
        <v>0</v>
      </c>
      <c r="E448" s="21">
        <v>0</v>
      </c>
      <c r="F448" s="21">
        <v>0</v>
      </c>
      <c r="G448" s="21">
        <v>0</v>
      </c>
      <c r="H448" s="21">
        <v>0</v>
      </c>
      <c r="I448" s="21">
        <v>0</v>
      </c>
      <c r="J448" s="21">
        <v>0</v>
      </c>
      <c r="K448" s="40">
        <v>0</v>
      </c>
      <c r="L448" s="21">
        <v>0</v>
      </c>
      <c r="M448" s="21">
        <v>1441</v>
      </c>
      <c r="N448" s="21">
        <f>M448*3300</f>
        <v>4755300</v>
      </c>
      <c r="O448" s="21">
        <v>0</v>
      </c>
      <c r="P448" s="21">
        <v>0</v>
      </c>
      <c r="Q448" s="3">
        <v>3661</v>
      </c>
      <c r="R448" s="21">
        <f>Q448*2605</f>
        <v>9536905</v>
      </c>
      <c r="S448" s="21">
        <v>0</v>
      </c>
      <c r="T448" s="21">
        <v>0</v>
      </c>
      <c r="U448" s="21">
        <v>200000</v>
      </c>
    </row>
    <row r="449" spans="1:22" ht="21.95" customHeight="1">
      <c r="A449" s="19" t="s">
        <v>1358</v>
      </c>
      <c r="B449" s="28" t="s">
        <v>170</v>
      </c>
      <c r="C449" s="1">
        <f t="shared" si="123"/>
        <v>26749492</v>
      </c>
      <c r="D449" s="21">
        <f t="shared" si="139"/>
        <v>0</v>
      </c>
      <c r="E449" s="21">
        <v>0</v>
      </c>
      <c r="F449" s="21">
        <v>0</v>
      </c>
      <c r="G449" s="21">
        <v>0</v>
      </c>
      <c r="H449" s="21">
        <v>0</v>
      </c>
      <c r="I449" s="21">
        <v>0</v>
      </c>
      <c r="J449" s="21">
        <v>0</v>
      </c>
      <c r="K449" s="40">
        <v>4</v>
      </c>
      <c r="L449" s="21">
        <v>8600000</v>
      </c>
      <c r="M449" s="21">
        <v>0</v>
      </c>
      <c r="N449" s="21">
        <v>0</v>
      </c>
      <c r="O449" s="21">
        <v>0</v>
      </c>
      <c r="P449" s="21">
        <v>0</v>
      </c>
      <c r="Q449" s="3">
        <v>6890.4</v>
      </c>
      <c r="R449" s="21">
        <f>Q449*2605</f>
        <v>17949492</v>
      </c>
      <c r="S449" s="21">
        <v>0</v>
      </c>
      <c r="T449" s="21">
        <v>0</v>
      </c>
      <c r="U449" s="21">
        <v>200000</v>
      </c>
    </row>
    <row r="450" spans="1:22" ht="21.95" customHeight="1">
      <c r="A450" s="19" t="s">
        <v>1359</v>
      </c>
      <c r="B450" s="26" t="s">
        <v>857</v>
      </c>
      <c r="C450" s="1">
        <f t="shared" si="123"/>
        <v>4158092.5</v>
      </c>
      <c r="D450" s="21">
        <f t="shared" si="139"/>
        <v>779625</v>
      </c>
      <c r="E450" s="21">
        <f>350*742.5</f>
        <v>259875</v>
      </c>
      <c r="F450" s="21">
        <f>800*0</f>
        <v>0</v>
      </c>
      <c r="G450" s="21">
        <f>300*742.5</f>
        <v>222750</v>
      </c>
      <c r="H450" s="21">
        <f>500*0</f>
        <v>0</v>
      </c>
      <c r="I450" s="21">
        <f>400*742.5</f>
        <v>297000</v>
      </c>
      <c r="J450" s="21">
        <f t="shared" ref="J450:J462" si="140">350*0</f>
        <v>0</v>
      </c>
      <c r="K450" s="40">
        <v>0</v>
      </c>
      <c r="L450" s="21">
        <v>0</v>
      </c>
      <c r="M450" s="21">
        <v>382.9</v>
      </c>
      <c r="N450" s="21">
        <f>M450*5300</f>
        <v>2029369.9999999998</v>
      </c>
      <c r="O450" s="21">
        <v>0</v>
      </c>
      <c r="P450" s="21">
        <f>O450*410</f>
        <v>0</v>
      </c>
      <c r="Q450" s="21">
        <v>479.5</v>
      </c>
      <c r="R450" s="21">
        <f>Q450*2605</f>
        <v>1249097.5</v>
      </c>
      <c r="S450" s="21">
        <v>0</v>
      </c>
      <c r="T450" s="21">
        <v>0</v>
      </c>
      <c r="U450" s="21">
        <v>100000</v>
      </c>
    </row>
    <row r="451" spans="1:22" ht="21.95" customHeight="1">
      <c r="A451" s="19" t="s">
        <v>1360</v>
      </c>
      <c r="B451" s="26" t="s">
        <v>189</v>
      </c>
      <c r="C451" s="1">
        <f t="shared" si="123"/>
        <v>2516250</v>
      </c>
      <c r="D451" s="21">
        <f t="shared" si="139"/>
        <v>964220.00000000012</v>
      </c>
      <c r="E451" s="21">
        <f>350*521.2</f>
        <v>182420.00000000003</v>
      </c>
      <c r="F451" s="21">
        <f>800*521.2</f>
        <v>416960.00000000006</v>
      </c>
      <c r="G451" s="21">
        <f>300*521.2</f>
        <v>156360</v>
      </c>
      <c r="H451" s="21">
        <f>500*0</f>
        <v>0</v>
      </c>
      <c r="I451" s="21">
        <f>400*521.2</f>
        <v>208480.00000000003</v>
      </c>
      <c r="J451" s="21">
        <f t="shared" si="140"/>
        <v>0</v>
      </c>
      <c r="K451" s="40">
        <v>0</v>
      </c>
      <c r="L451" s="21">
        <v>0</v>
      </c>
      <c r="M451" s="21">
        <v>255.1</v>
      </c>
      <c r="N451" s="21">
        <f t="shared" ref="N451:N465" si="141">M451*5300</f>
        <v>1352030</v>
      </c>
      <c r="O451" s="21">
        <v>0</v>
      </c>
      <c r="P451" s="21">
        <f>O451*410</f>
        <v>0</v>
      </c>
      <c r="Q451" s="3">
        <v>0</v>
      </c>
      <c r="R451" s="21">
        <v>0</v>
      </c>
      <c r="S451" s="21">
        <f>S108</f>
        <v>0</v>
      </c>
      <c r="T451" s="21">
        <v>0</v>
      </c>
      <c r="U451" s="21">
        <v>200000</v>
      </c>
    </row>
    <row r="452" spans="1:22" ht="21.95" customHeight="1">
      <c r="A452" s="19" t="s">
        <v>1361</v>
      </c>
      <c r="B452" s="26" t="s">
        <v>181</v>
      </c>
      <c r="C452" s="1">
        <f t="shared" si="123"/>
        <v>7638351</v>
      </c>
      <c r="D452" s="21">
        <f t="shared" si="139"/>
        <v>1685670</v>
      </c>
      <c r="E452" s="21">
        <f>350*1605.4</f>
        <v>561890</v>
      </c>
      <c r="F452" s="21">
        <f>800*0</f>
        <v>0</v>
      </c>
      <c r="G452" s="21">
        <f>300*1605.4</f>
        <v>481620</v>
      </c>
      <c r="H452" s="21">
        <f>500*0</f>
        <v>0</v>
      </c>
      <c r="I452" s="21">
        <f>400*1605.4</f>
        <v>642160</v>
      </c>
      <c r="J452" s="21">
        <f t="shared" si="140"/>
        <v>0</v>
      </c>
      <c r="K452" s="40">
        <v>0</v>
      </c>
      <c r="L452" s="21">
        <v>0</v>
      </c>
      <c r="M452" s="21">
        <v>784.7</v>
      </c>
      <c r="N452" s="21">
        <f t="shared" si="141"/>
        <v>4158910.0000000005</v>
      </c>
      <c r="O452" s="21">
        <v>0</v>
      </c>
      <c r="P452" s="21">
        <f>O452*410</f>
        <v>0</v>
      </c>
      <c r="Q452" s="21">
        <v>650.20000000000005</v>
      </c>
      <c r="R452" s="21">
        <f>Q452*2605</f>
        <v>1693771.0000000002</v>
      </c>
      <c r="S452" s="21">
        <v>0</v>
      </c>
      <c r="T452" s="21">
        <v>0</v>
      </c>
      <c r="U452" s="21">
        <v>100000</v>
      </c>
    </row>
    <row r="453" spans="1:22" ht="21.95" customHeight="1">
      <c r="A453" s="19" t="s">
        <v>1362</v>
      </c>
      <c r="B453" s="28" t="s">
        <v>184</v>
      </c>
      <c r="C453" s="1">
        <f t="shared" si="123"/>
        <v>6057890</v>
      </c>
      <c r="D453" s="21">
        <f t="shared" si="139"/>
        <v>1324600</v>
      </c>
      <c r="E453" s="21">
        <f>350*716</f>
        <v>250600</v>
      </c>
      <c r="F453" s="21">
        <f>800*716</f>
        <v>572800</v>
      </c>
      <c r="G453" s="21">
        <f>300*716</f>
        <v>214800</v>
      </c>
      <c r="H453" s="21">
        <f>500*0</f>
        <v>0</v>
      </c>
      <c r="I453" s="21">
        <f>400*716</f>
        <v>286400</v>
      </c>
      <c r="J453" s="21">
        <f t="shared" si="140"/>
        <v>0</v>
      </c>
      <c r="K453" s="40">
        <v>0</v>
      </c>
      <c r="L453" s="21">
        <v>0</v>
      </c>
      <c r="M453" s="21">
        <v>579.29999999999995</v>
      </c>
      <c r="N453" s="21">
        <f t="shared" si="141"/>
        <v>3070289.9999999995</v>
      </c>
      <c r="O453" s="21">
        <v>0</v>
      </c>
      <c r="P453" s="21">
        <v>0</v>
      </c>
      <c r="Q453" s="21">
        <v>600</v>
      </c>
      <c r="R453" s="21">
        <f>Q453*2605</f>
        <v>1563000</v>
      </c>
      <c r="S453" s="21">
        <f>S1252</f>
        <v>0</v>
      </c>
      <c r="T453" s="21">
        <v>0</v>
      </c>
      <c r="U453" s="21">
        <v>100000</v>
      </c>
    </row>
    <row r="454" spans="1:22" ht="21.95" customHeight="1">
      <c r="A454" s="19" t="s">
        <v>1363</v>
      </c>
      <c r="B454" s="28" t="s">
        <v>185</v>
      </c>
      <c r="C454" s="1">
        <f t="shared" si="123"/>
        <v>4633915</v>
      </c>
      <c r="D454" s="21">
        <f t="shared" si="139"/>
        <v>1302215</v>
      </c>
      <c r="E454" s="21">
        <f>350*703.9</f>
        <v>246365</v>
      </c>
      <c r="F454" s="21">
        <f>800*703.9</f>
        <v>563120</v>
      </c>
      <c r="G454" s="21">
        <f>300*703.9</f>
        <v>211170</v>
      </c>
      <c r="H454" s="21">
        <f>500*0</f>
        <v>0</v>
      </c>
      <c r="I454" s="21">
        <f>400*703.9</f>
        <v>281560</v>
      </c>
      <c r="J454" s="21">
        <f t="shared" si="140"/>
        <v>0</v>
      </c>
      <c r="K454" s="40">
        <v>0</v>
      </c>
      <c r="L454" s="21">
        <v>0</v>
      </c>
      <c r="M454" s="21">
        <v>364</v>
      </c>
      <c r="N454" s="21">
        <f t="shared" si="141"/>
        <v>1929200</v>
      </c>
      <c r="O454" s="21">
        <v>0</v>
      </c>
      <c r="P454" s="21">
        <v>0</v>
      </c>
      <c r="Q454" s="21">
        <v>500</v>
      </c>
      <c r="R454" s="21">
        <f>Q454*2605</f>
        <v>1302500</v>
      </c>
      <c r="S454" s="21">
        <f>S1253</f>
        <v>0</v>
      </c>
      <c r="T454" s="21">
        <v>0</v>
      </c>
      <c r="U454" s="21">
        <v>100000</v>
      </c>
    </row>
    <row r="455" spans="1:22" ht="21.95" customHeight="1">
      <c r="A455" s="19" t="s">
        <v>1364</v>
      </c>
      <c r="B455" s="26" t="s">
        <v>188</v>
      </c>
      <c r="C455" s="1">
        <f t="shared" si="123"/>
        <v>2805148</v>
      </c>
      <c r="D455" s="21">
        <f t="shared" si="139"/>
        <v>812865</v>
      </c>
      <c r="E455" s="21">
        <f>350*345.9</f>
        <v>121064.99999999999</v>
      </c>
      <c r="F455" s="21">
        <f>800*345.9</f>
        <v>276720</v>
      </c>
      <c r="G455" s="21">
        <f>300*345.9</f>
        <v>103770</v>
      </c>
      <c r="H455" s="21">
        <f>500*345.9</f>
        <v>172950</v>
      </c>
      <c r="I455" s="21">
        <f>400*345.9</f>
        <v>138360</v>
      </c>
      <c r="J455" s="21">
        <f t="shared" si="140"/>
        <v>0</v>
      </c>
      <c r="K455" s="40">
        <v>0</v>
      </c>
      <c r="L455" s="21">
        <v>0</v>
      </c>
      <c r="M455" s="21">
        <v>197.3</v>
      </c>
      <c r="N455" s="21">
        <f t="shared" si="141"/>
        <v>1045690.0000000001</v>
      </c>
      <c r="O455" s="21">
        <v>0</v>
      </c>
      <c r="P455" s="21">
        <v>0</v>
      </c>
      <c r="Q455" s="21">
        <v>286.60000000000002</v>
      </c>
      <c r="R455" s="21">
        <f t="shared" ref="R455:R464" si="142">Q455*2605</f>
        <v>746593.00000000012</v>
      </c>
      <c r="S455" s="21">
        <f>S895</f>
        <v>0</v>
      </c>
      <c r="T455" s="21">
        <v>0</v>
      </c>
      <c r="U455" s="21">
        <v>200000</v>
      </c>
    </row>
    <row r="456" spans="1:22" ht="21.95" customHeight="1">
      <c r="A456" s="19" t="s">
        <v>1365</v>
      </c>
      <c r="B456" s="26" t="s">
        <v>186</v>
      </c>
      <c r="C456" s="1">
        <f t="shared" si="123"/>
        <v>3059361</v>
      </c>
      <c r="D456" s="21">
        <f t="shared" si="139"/>
        <v>931660</v>
      </c>
      <c r="E456" s="21">
        <f>350*503.6</f>
        <v>176260</v>
      </c>
      <c r="F456" s="21">
        <f>800*503.6</f>
        <v>402880</v>
      </c>
      <c r="G456" s="21">
        <f>300*503.6</f>
        <v>151080</v>
      </c>
      <c r="H456" s="21">
        <f>500*0</f>
        <v>0</v>
      </c>
      <c r="I456" s="21">
        <f>400*503.6</f>
        <v>201440</v>
      </c>
      <c r="J456" s="21">
        <f t="shared" si="140"/>
        <v>0</v>
      </c>
      <c r="K456" s="40">
        <v>0</v>
      </c>
      <c r="L456" s="21">
        <v>0</v>
      </c>
      <c r="M456" s="21">
        <v>266.3</v>
      </c>
      <c r="N456" s="21">
        <f t="shared" si="141"/>
        <v>1411390</v>
      </c>
      <c r="O456" s="21">
        <v>0</v>
      </c>
      <c r="P456" s="21">
        <v>0</v>
      </c>
      <c r="Q456" s="21">
        <v>198.2</v>
      </c>
      <c r="R456" s="21">
        <f t="shared" si="142"/>
        <v>516310.99999999994</v>
      </c>
      <c r="S456" s="21">
        <v>0</v>
      </c>
      <c r="T456" s="21">
        <v>0</v>
      </c>
      <c r="U456" s="21">
        <v>200000</v>
      </c>
    </row>
    <row r="457" spans="1:22" ht="21.95" customHeight="1">
      <c r="A457" s="19" t="s">
        <v>1366</v>
      </c>
      <c r="B457" s="28" t="s">
        <v>187</v>
      </c>
      <c r="C457" s="1">
        <f t="shared" si="123"/>
        <v>5225065</v>
      </c>
      <c r="D457" s="21">
        <f t="shared" si="139"/>
        <v>1548265</v>
      </c>
      <c r="E457" s="21">
        <f>350*836.9</f>
        <v>292915</v>
      </c>
      <c r="F457" s="21">
        <f>800*836.9</f>
        <v>669520</v>
      </c>
      <c r="G457" s="21">
        <f>300*836.9</f>
        <v>251070</v>
      </c>
      <c r="H457" s="21">
        <f>500*0</f>
        <v>0</v>
      </c>
      <c r="I457" s="21">
        <f>400*836.9</f>
        <v>334760</v>
      </c>
      <c r="J457" s="21">
        <f t="shared" si="140"/>
        <v>0</v>
      </c>
      <c r="K457" s="40">
        <v>0</v>
      </c>
      <c r="L457" s="21">
        <v>0</v>
      </c>
      <c r="M457" s="21">
        <v>656</v>
      </c>
      <c r="N457" s="21">
        <f t="shared" si="141"/>
        <v>3476800</v>
      </c>
      <c r="O457" s="21">
        <v>0</v>
      </c>
      <c r="P457" s="21">
        <v>0</v>
      </c>
      <c r="Q457" s="21">
        <v>0</v>
      </c>
      <c r="R457" s="21">
        <f t="shared" si="142"/>
        <v>0</v>
      </c>
      <c r="S457" s="21">
        <v>0</v>
      </c>
      <c r="T457" s="21">
        <v>0</v>
      </c>
      <c r="U457" s="21">
        <v>200000</v>
      </c>
    </row>
    <row r="458" spans="1:22" ht="21.95" customHeight="1">
      <c r="A458" s="19" t="s">
        <v>1367</v>
      </c>
      <c r="B458" s="26" t="s">
        <v>193</v>
      </c>
      <c r="C458" s="1">
        <f t="shared" si="123"/>
        <v>5210577</v>
      </c>
      <c r="D458" s="21">
        <f t="shared" si="139"/>
        <v>1863785</v>
      </c>
      <c r="E458" s="21">
        <f>350*793.1</f>
        <v>277585</v>
      </c>
      <c r="F458" s="21">
        <f>800*793.1</f>
        <v>634480</v>
      </c>
      <c r="G458" s="21">
        <f>300*793.1</f>
        <v>237930</v>
      </c>
      <c r="H458" s="21">
        <f>500*793.1</f>
        <v>396550</v>
      </c>
      <c r="I458" s="21">
        <f>400*793.1</f>
        <v>317240</v>
      </c>
      <c r="J458" s="21">
        <f t="shared" si="140"/>
        <v>0</v>
      </c>
      <c r="K458" s="40">
        <v>0</v>
      </c>
      <c r="L458" s="21">
        <v>0</v>
      </c>
      <c r="M458" s="21">
        <v>346.8</v>
      </c>
      <c r="N458" s="21">
        <f t="shared" si="141"/>
        <v>1838040</v>
      </c>
      <c r="O458" s="21">
        <v>0</v>
      </c>
      <c r="P458" s="21">
        <f>O458*410</f>
        <v>0</v>
      </c>
      <c r="Q458" s="21">
        <v>502.4</v>
      </c>
      <c r="R458" s="21">
        <f t="shared" si="142"/>
        <v>1308752</v>
      </c>
      <c r="S458" s="21">
        <v>0</v>
      </c>
      <c r="T458" s="21">
        <v>0</v>
      </c>
      <c r="U458" s="21">
        <v>200000</v>
      </c>
    </row>
    <row r="459" spans="1:22" ht="21.95" customHeight="1">
      <c r="A459" s="19" t="s">
        <v>1368</v>
      </c>
      <c r="B459" s="28" t="s">
        <v>192</v>
      </c>
      <c r="C459" s="1">
        <f t="shared" si="123"/>
        <v>7178032.5</v>
      </c>
      <c r="D459" s="21">
        <f t="shared" si="139"/>
        <v>3569390</v>
      </c>
      <c r="E459" s="21">
        <f>350*1929.4</f>
        <v>675290</v>
      </c>
      <c r="F459" s="21">
        <f>800*1929.4</f>
        <v>1543520</v>
      </c>
      <c r="G459" s="21">
        <f>300*1929.4</f>
        <v>578820</v>
      </c>
      <c r="H459" s="21">
        <f>500*0</f>
        <v>0</v>
      </c>
      <c r="I459" s="21">
        <f>400*1929.4</f>
        <v>771760</v>
      </c>
      <c r="J459" s="21">
        <f t="shared" si="140"/>
        <v>0</v>
      </c>
      <c r="K459" s="40">
        <v>0</v>
      </c>
      <c r="L459" s="21">
        <v>0</v>
      </c>
      <c r="M459" s="21">
        <v>0</v>
      </c>
      <c r="N459" s="21">
        <f t="shared" si="141"/>
        <v>0</v>
      </c>
      <c r="O459" s="21">
        <v>0</v>
      </c>
      <c r="P459" s="21">
        <v>0</v>
      </c>
      <c r="Q459" s="21">
        <v>1308.5</v>
      </c>
      <c r="R459" s="21">
        <f t="shared" si="142"/>
        <v>3408642.5</v>
      </c>
      <c r="S459" s="21">
        <v>0</v>
      </c>
      <c r="T459" s="21">
        <v>0</v>
      </c>
      <c r="U459" s="21">
        <v>200000</v>
      </c>
    </row>
    <row r="460" spans="1:22" ht="21.95" customHeight="1">
      <c r="A460" s="19" t="s">
        <v>1369</v>
      </c>
      <c r="B460" s="26" t="s">
        <v>190</v>
      </c>
      <c r="C460" s="1">
        <f t="shared" si="123"/>
        <v>5077588.5</v>
      </c>
      <c r="D460" s="21">
        <f t="shared" si="139"/>
        <v>1214895</v>
      </c>
      <c r="E460" s="21">
        <f>350*656.7</f>
        <v>229845.00000000003</v>
      </c>
      <c r="F460" s="21">
        <f>800*656.7</f>
        <v>525360</v>
      </c>
      <c r="G460" s="21">
        <f>300*656.7</f>
        <v>197010</v>
      </c>
      <c r="H460" s="21">
        <f>500*0</f>
        <v>0</v>
      </c>
      <c r="I460" s="21">
        <f>400*656.7</f>
        <v>262680</v>
      </c>
      <c r="J460" s="21">
        <f t="shared" si="140"/>
        <v>0</v>
      </c>
      <c r="K460" s="40">
        <v>0</v>
      </c>
      <c r="L460" s="21">
        <v>0</v>
      </c>
      <c r="M460" s="21">
        <v>368.3</v>
      </c>
      <c r="N460" s="21">
        <f t="shared" si="141"/>
        <v>1951990</v>
      </c>
      <c r="O460" s="21">
        <v>0</v>
      </c>
      <c r="P460" s="21">
        <v>0</v>
      </c>
      <c r="Q460" s="3">
        <v>656.7</v>
      </c>
      <c r="R460" s="21">
        <f t="shared" si="142"/>
        <v>1710703.5000000002</v>
      </c>
      <c r="S460" s="21">
        <f>S1090</f>
        <v>0</v>
      </c>
      <c r="T460" s="21">
        <v>0</v>
      </c>
      <c r="U460" s="21">
        <v>200000</v>
      </c>
    </row>
    <row r="461" spans="1:22" ht="21.95" customHeight="1">
      <c r="A461" s="19" t="s">
        <v>1370</v>
      </c>
      <c r="B461" s="26" t="s">
        <v>191</v>
      </c>
      <c r="C461" s="1">
        <f t="shared" si="123"/>
        <v>5510272.5</v>
      </c>
      <c r="D461" s="21">
        <f t="shared" si="139"/>
        <v>1514040</v>
      </c>
      <c r="E461" s="21">
        <f>350*818.4</f>
        <v>286440</v>
      </c>
      <c r="F461" s="21">
        <f>800*818.4</f>
        <v>654720</v>
      </c>
      <c r="G461" s="21">
        <f>300*818.4</f>
        <v>245520</v>
      </c>
      <c r="H461" s="21">
        <f>500*0</f>
        <v>0</v>
      </c>
      <c r="I461" s="21">
        <f>400*818.4</f>
        <v>327360</v>
      </c>
      <c r="J461" s="21">
        <f t="shared" si="140"/>
        <v>0</v>
      </c>
      <c r="K461" s="40">
        <v>0</v>
      </c>
      <c r="L461" s="21">
        <v>0</v>
      </c>
      <c r="M461" s="21">
        <v>428</v>
      </c>
      <c r="N461" s="21">
        <f t="shared" si="141"/>
        <v>2268400</v>
      </c>
      <c r="O461" s="21">
        <v>0</v>
      </c>
      <c r="P461" s="21">
        <v>0</v>
      </c>
      <c r="Q461" s="21">
        <v>586.5</v>
      </c>
      <c r="R461" s="21">
        <f t="shared" si="142"/>
        <v>1527832.5</v>
      </c>
      <c r="S461" s="21">
        <v>0</v>
      </c>
      <c r="T461" s="21">
        <v>0</v>
      </c>
      <c r="U461" s="21">
        <v>200000</v>
      </c>
    </row>
    <row r="462" spans="1:22" ht="21.95" customHeight="1">
      <c r="A462" s="19" t="s">
        <v>1371</v>
      </c>
      <c r="B462" s="26" t="s">
        <v>194</v>
      </c>
      <c r="C462" s="1">
        <f t="shared" si="123"/>
        <v>1903984</v>
      </c>
      <c r="D462" s="21">
        <f t="shared" si="139"/>
        <v>128380</v>
      </c>
      <c r="E462" s="21">
        <f>350*366.8</f>
        <v>128380</v>
      </c>
      <c r="F462" s="21">
        <f>800*0</f>
        <v>0</v>
      </c>
      <c r="G462" s="21">
        <f>300*0</f>
        <v>0</v>
      </c>
      <c r="H462" s="21">
        <f>500*0</f>
        <v>0</v>
      </c>
      <c r="I462" s="21">
        <f>400*0</f>
        <v>0</v>
      </c>
      <c r="J462" s="21">
        <f t="shared" si="140"/>
        <v>0</v>
      </c>
      <c r="K462" s="40">
        <v>0</v>
      </c>
      <c r="L462" s="21">
        <v>0</v>
      </c>
      <c r="M462" s="21">
        <v>163.19999999999999</v>
      </c>
      <c r="N462" s="21">
        <f t="shared" si="141"/>
        <v>864959.99999999988</v>
      </c>
      <c r="O462" s="21">
        <v>0</v>
      </c>
      <c r="P462" s="21">
        <f>O462*410</f>
        <v>0</v>
      </c>
      <c r="Q462" s="21">
        <v>272.8</v>
      </c>
      <c r="R462" s="21">
        <f t="shared" si="142"/>
        <v>710644</v>
      </c>
      <c r="S462" s="21">
        <v>0</v>
      </c>
      <c r="T462" s="21">
        <v>0</v>
      </c>
      <c r="U462" s="21">
        <v>200000</v>
      </c>
    </row>
    <row r="463" spans="1:22" ht="21.95" customHeight="1">
      <c r="A463" s="19" t="s">
        <v>1372</v>
      </c>
      <c r="B463" s="28" t="s">
        <v>195</v>
      </c>
      <c r="C463" s="1">
        <f t="shared" si="123"/>
        <v>5084478</v>
      </c>
      <c r="D463" s="21">
        <f t="shared" si="139"/>
        <v>0</v>
      </c>
      <c r="E463" s="21">
        <v>0</v>
      </c>
      <c r="F463" s="21">
        <v>0</v>
      </c>
      <c r="G463" s="21">
        <v>0</v>
      </c>
      <c r="H463" s="21">
        <v>0</v>
      </c>
      <c r="I463" s="21">
        <v>0</v>
      </c>
      <c r="J463" s="21">
        <v>0</v>
      </c>
      <c r="K463" s="40">
        <v>0</v>
      </c>
      <c r="L463" s="21">
        <v>0</v>
      </c>
      <c r="M463" s="21">
        <v>597.4</v>
      </c>
      <c r="N463" s="21">
        <f t="shared" si="141"/>
        <v>3166220</v>
      </c>
      <c r="O463" s="21">
        <v>0</v>
      </c>
      <c r="P463" s="21">
        <f>O463*410</f>
        <v>0</v>
      </c>
      <c r="Q463" s="21">
        <v>659.6</v>
      </c>
      <c r="R463" s="21">
        <f t="shared" si="142"/>
        <v>1718258</v>
      </c>
      <c r="S463" s="21">
        <f>S899</f>
        <v>0</v>
      </c>
      <c r="T463" s="21">
        <v>0</v>
      </c>
      <c r="U463" s="21">
        <v>200000</v>
      </c>
    </row>
    <row r="464" spans="1:22" ht="21.95" customHeight="1">
      <c r="A464" s="19" t="s">
        <v>1373</v>
      </c>
      <c r="B464" s="28" t="s">
        <v>196</v>
      </c>
      <c r="C464" s="1">
        <f t="shared" si="123"/>
        <v>3349765.5</v>
      </c>
      <c r="D464" s="21">
        <f t="shared" si="139"/>
        <v>896325</v>
      </c>
      <c r="E464" s="21">
        <f>350*484.5</f>
        <v>169575</v>
      </c>
      <c r="F464" s="21">
        <f>800*484.5</f>
        <v>387600</v>
      </c>
      <c r="G464" s="21">
        <f>300*484.5</f>
        <v>145350</v>
      </c>
      <c r="H464" s="21">
        <f>500*0</f>
        <v>0</v>
      </c>
      <c r="I464" s="21">
        <f>400*484.5</f>
        <v>193800</v>
      </c>
      <c r="J464" s="21">
        <f>350*0</f>
        <v>0</v>
      </c>
      <c r="K464" s="40">
        <v>0</v>
      </c>
      <c r="L464" s="21">
        <v>0</v>
      </c>
      <c r="M464" s="21">
        <v>253.1</v>
      </c>
      <c r="N464" s="21">
        <f t="shared" si="141"/>
        <v>1341430</v>
      </c>
      <c r="O464" s="21">
        <v>0</v>
      </c>
      <c r="P464" s="21">
        <f>O464*410</f>
        <v>0</v>
      </c>
      <c r="Q464" s="21">
        <v>350.1</v>
      </c>
      <c r="R464" s="21">
        <f t="shared" si="142"/>
        <v>912010.50000000012</v>
      </c>
      <c r="S464" s="21">
        <f>S901</f>
        <v>0</v>
      </c>
      <c r="T464" s="21">
        <v>0</v>
      </c>
      <c r="U464" s="21">
        <v>200000</v>
      </c>
      <c r="V464" s="13"/>
    </row>
    <row r="465" spans="1:22" ht="21.95" customHeight="1">
      <c r="A465" s="19" t="s">
        <v>1374</v>
      </c>
      <c r="B465" s="26" t="s">
        <v>197</v>
      </c>
      <c r="C465" s="1">
        <f t="shared" si="123"/>
        <v>4777080</v>
      </c>
      <c r="D465" s="21">
        <f t="shared" si="139"/>
        <v>0</v>
      </c>
      <c r="E465" s="21">
        <v>0</v>
      </c>
      <c r="F465" s="21">
        <v>0</v>
      </c>
      <c r="G465" s="21">
        <v>0</v>
      </c>
      <c r="H465" s="21">
        <v>0</v>
      </c>
      <c r="I465" s="21">
        <v>0</v>
      </c>
      <c r="J465" s="21">
        <v>0</v>
      </c>
      <c r="K465" s="40">
        <v>0</v>
      </c>
      <c r="L465" s="21">
        <v>0</v>
      </c>
      <c r="M465" s="21">
        <v>863.6</v>
      </c>
      <c r="N465" s="21">
        <f t="shared" si="141"/>
        <v>4577080</v>
      </c>
      <c r="O465" s="21">
        <v>0</v>
      </c>
      <c r="P465" s="21">
        <v>0</v>
      </c>
      <c r="Q465" s="21">
        <v>0</v>
      </c>
      <c r="R465" s="21">
        <v>0</v>
      </c>
      <c r="S465" s="21">
        <v>0</v>
      </c>
      <c r="T465" s="21">
        <v>0</v>
      </c>
      <c r="U465" s="21">
        <v>200000</v>
      </c>
    </row>
    <row r="466" spans="1:22" ht="21.95" customHeight="1">
      <c r="A466" s="19" t="s">
        <v>1375</v>
      </c>
      <c r="B466" s="26" t="s">
        <v>198</v>
      </c>
      <c r="C466" s="1">
        <f t="shared" si="123"/>
        <v>4172880</v>
      </c>
      <c r="D466" s="21">
        <f t="shared" si="139"/>
        <v>0</v>
      </c>
      <c r="E466" s="21">
        <v>0</v>
      </c>
      <c r="F466" s="21">
        <v>0</v>
      </c>
      <c r="G466" s="21">
        <v>0</v>
      </c>
      <c r="H466" s="21">
        <v>0</v>
      </c>
      <c r="I466" s="21">
        <v>0</v>
      </c>
      <c r="J466" s="21">
        <v>0</v>
      </c>
      <c r="K466" s="40">
        <v>0</v>
      </c>
      <c r="L466" s="21">
        <v>0</v>
      </c>
      <c r="M466" s="21">
        <v>749.6</v>
      </c>
      <c r="N466" s="21">
        <f>M466*5300</f>
        <v>3972880</v>
      </c>
      <c r="O466" s="21">
        <v>0</v>
      </c>
      <c r="P466" s="21">
        <v>0</v>
      </c>
      <c r="Q466" s="21">
        <v>0</v>
      </c>
      <c r="R466" s="21">
        <v>0</v>
      </c>
      <c r="S466" s="21">
        <v>0</v>
      </c>
      <c r="T466" s="21">
        <v>0</v>
      </c>
      <c r="U466" s="21">
        <v>200000</v>
      </c>
    </row>
    <row r="467" spans="1:22" ht="45" customHeight="1">
      <c r="A467" s="55" t="s">
        <v>229</v>
      </c>
      <c r="B467" s="55"/>
      <c r="C467" s="1">
        <f t="shared" si="123"/>
        <v>3537594.15</v>
      </c>
      <c r="D467" s="1">
        <f t="shared" ref="D467:U467" si="143">SUM(D468)</f>
        <v>147000</v>
      </c>
      <c r="E467" s="1">
        <f t="shared" si="143"/>
        <v>147000</v>
      </c>
      <c r="F467" s="1">
        <f t="shared" si="143"/>
        <v>0</v>
      </c>
      <c r="G467" s="1">
        <f t="shared" si="143"/>
        <v>0</v>
      </c>
      <c r="H467" s="1">
        <f t="shared" si="143"/>
        <v>0</v>
      </c>
      <c r="I467" s="1">
        <f t="shared" si="143"/>
        <v>0</v>
      </c>
      <c r="J467" s="1">
        <f t="shared" si="143"/>
        <v>0</v>
      </c>
      <c r="K467" s="42">
        <f t="shared" si="143"/>
        <v>0</v>
      </c>
      <c r="L467" s="1">
        <f t="shared" si="143"/>
        <v>0</v>
      </c>
      <c r="M467" s="1">
        <f t="shared" si="143"/>
        <v>340.7</v>
      </c>
      <c r="N467" s="1">
        <f t="shared" si="143"/>
        <v>1805710</v>
      </c>
      <c r="O467" s="1">
        <f t="shared" si="143"/>
        <v>0</v>
      </c>
      <c r="P467" s="1">
        <f t="shared" si="143"/>
        <v>0</v>
      </c>
      <c r="Q467" s="1">
        <f t="shared" si="143"/>
        <v>509.23</v>
      </c>
      <c r="R467" s="1">
        <f t="shared" si="143"/>
        <v>1326544.1499999999</v>
      </c>
      <c r="S467" s="1">
        <f t="shared" si="143"/>
        <v>158340</v>
      </c>
      <c r="T467" s="1">
        <f t="shared" si="143"/>
        <v>0</v>
      </c>
      <c r="U467" s="1">
        <f t="shared" si="143"/>
        <v>100000</v>
      </c>
    </row>
    <row r="468" spans="1:22" ht="21.95" customHeight="1">
      <c r="A468" s="19" t="s">
        <v>1376</v>
      </c>
      <c r="B468" s="24" t="s">
        <v>231</v>
      </c>
      <c r="C468" s="1">
        <f t="shared" si="123"/>
        <v>3537594.15</v>
      </c>
      <c r="D468" s="21">
        <f t="shared" ref="D468" si="144">SUM(E468:J468)</f>
        <v>147000</v>
      </c>
      <c r="E468" s="21">
        <f>350*420</f>
        <v>147000</v>
      </c>
      <c r="F468" s="21">
        <f>800*0</f>
        <v>0</v>
      </c>
      <c r="G468" s="21">
        <f>300*0</f>
        <v>0</v>
      </c>
      <c r="H468" s="21">
        <f>500*0</f>
        <v>0</v>
      </c>
      <c r="I468" s="21">
        <f>400*0</f>
        <v>0</v>
      </c>
      <c r="J468" s="21">
        <f>350*0</f>
        <v>0</v>
      </c>
      <c r="K468" s="40">
        <v>0</v>
      </c>
      <c r="L468" s="21">
        <v>0</v>
      </c>
      <c r="M468" s="21">
        <v>340.7</v>
      </c>
      <c r="N468" s="21">
        <v>1805710</v>
      </c>
      <c r="O468" s="21">
        <v>0</v>
      </c>
      <c r="P468" s="21">
        <v>0</v>
      </c>
      <c r="Q468" s="21">
        <v>509.23</v>
      </c>
      <c r="R468" s="21">
        <v>1326544.1499999999</v>
      </c>
      <c r="S468" s="21">
        <v>158340</v>
      </c>
      <c r="T468" s="21">
        <v>0</v>
      </c>
      <c r="U468" s="21">
        <v>100000</v>
      </c>
    </row>
    <row r="469" spans="1:22" ht="45" customHeight="1">
      <c r="A469" s="55" t="s">
        <v>228</v>
      </c>
      <c r="B469" s="55"/>
      <c r="C469" s="1">
        <f t="shared" si="123"/>
        <v>33267397.699999999</v>
      </c>
      <c r="D469" s="47">
        <f t="shared" ref="D469:U469" si="145">SUM(D470:D478)</f>
        <v>8945105</v>
      </c>
      <c r="E469" s="47">
        <f t="shared" si="145"/>
        <v>1558515</v>
      </c>
      <c r="F469" s="47">
        <f t="shared" si="145"/>
        <v>3562320</v>
      </c>
      <c r="G469" s="47">
        <f t="shared" si="145"/>
        <v>1432880</v>
      </c>
      <c r="H469" s="47">
        <f t="shared" si="145"/>
        <v>1328550</v>
      </c>
      <c r="I469" s="47">
        <f t="shared" si="145"/>
        <v>1062840</v>
      </c>
      <c r="J469" s="47">
        <f t="shared" si="145"/>
        <v>0</v>
      </c>
      <c r="K469" s="48">
        <f t="shared" si="145"/>
        <v>0</v>
      </c>
      <c r="L469" s="47">
        <f t="shared" si="145"/>
        <v>0</v>
      </c>
      <c r="M469" s="47">
        <f t="shared" si="145"/>
        <v>3009.4700000000003</v>
      </c>
      <c r="N469" s="47">
        <f t="shared" si="145"/>
        <v>15950191</v>
      </c>
      <c r="O469" s="47">
        <f t="shared" si="145"/>
        <v>0</v>
      </c>
      <c r="P469" s="47">
        <f t="shared" si="145"/>
        <v>0</v>
      </c>
      <c r="Q469" s="47">
        <f t="shared" si="145"/>
        <v>2599.54</v>
      </c>
      <c r="R469" s="47">
        <f t="shared" si="145"/>
        <v>6771801.7000000002</v>
      </c>
      <c r="S469" s="47">
        <f t="shared" si="145"/>
        <v>300300</v>
      </c>
      <c r="T469" s="47">
        <f t="shared" si="145"/>
        <v>0</v>
      </c>
      <c r="U469" s="47">
        <f t="shared" si="145"/>
        <v>1300000</v>
      </c>
    </row>
    <row r="470" spans="1:22" ht="21.95" customHeight="1">
      <c r="A470" s="19" t="s">
        <v>1377</v>
      </c>
      <c r="B470" s="24" t="s">
        <v>219</v>
      </c>
      <c r="C470" s="1">
        <f t="shared" si="123"/>
        <v>3728552.5</v>
      </c>
      <c r="D470" s="21">
        <f t="shared" ref="D470:D478" si="146">SUM(E470:J470)</f>
        <v>730510</v>
      </c>
      <c r="E470" s="21">
        <f>350*503.8</f>
        <v>176330</v>
      </c>
      <c r="F470" s="21">
        <f>800*503.8</f>
        <v>403040</v>
      </c>
      <c r="G470" s="21">
        <f>300*503.8</f>
        <v>151140</v>
      </c>
      <c r="H470" s="21">
        <f>500*0</f>
        <v>0</v>
      </c>
      <c r="I470" s="21">
        <f>400*0</f>
        <v>0</v>
      </c>
      <c r="J470" s="21">
        <f t="shared" ref="J470:J475" si="147">350*0</f>
        <v>0</v>
      </c>
      <c r="K470" s="40">
        <v>0</v>
      </c>
      <c r="L470" s="21">
        <v>0</v>
      </c>
      <c r="M470" s="3">
        <v>415.42</v>
      </c>
      <c r="N470" s="3">
        <v>2201726</v>
      </c>
      <c r="O470" s="21">
        <v>0</v>
      </c>
      <c r="P470" s="21">
        <v>0</v>
      </c>
      <c r="Q470" s="21">
        <v>267.3</v>
      </c>
      <c r="R470" s="21">
        <v>696316.5</v>
      </c>
      <c r="S470" s="21">
        <v>0</v>
      </c>
      <c r="T470" s="21">
        <v>0</v>
      </c>
      <c r="U470" s="21">
        <v>100000</v>
      </c>
    </row>
    <row r="471" spans="1:22" ht="21.95" customHeight="1">
      <c r="A471" s="19" t="s">
        <v>1378</v>
      </c>
      <c r="B471" s="24" t="s">
        <v>220</v>
      </c>
      <c r="C471" s="1">
        <f t="shared" si="123"/>
        <v>4348164.5</v>
      </c>
      <c r="D471" s="21">
        <f t="shared" si="146"/>
        <v>728335</v>
      </c>
      <c r="E471" s="21">
        <f>350*502.3</f>
        <v>175805</v>
      </c>
      <c r="F471" s="21">
        <f>800*502.3</f>
        <v>401840</v>
      </c>
      <c r="G471" s="21">
        <f>300*502.3</f>
        <v>150690</v>
      </c>
      <c r="H471" s="21">
        <f>500*0</f>
        <v>0</v>
      </c>
      <c r="I471" s="21">
        <f>400*0</f>
        <v>0</v>
      </c>
      <c r="J471" s="21">
        <f t="shared" si="147"/>
        <v>0</v>
      </c>
      <c r="K471" s="40">
        <v>0</v>
      </c>
      <c r="L471" s="21">
        <v>0</v>
      </c>
      <c r="M471" s="3">
        <v>410.85</v>
      </c>
      <c r="N471" s="3">
        <v>2177505</v>
      </c>
      <c r="O471" s="21">
        <v>0</v>
      </c>
      <c r="P471" s="21">
        <v>0</v>
      </c>
      <c r="Q471" s="21">
        <v>476.9</v>
      </c>
      <c r="R471" s="21">
        <v>1242324.5</v>
      </c>
      <c r="S471" s="21">
        <v>0</v>
      </c>
      <c r="T471" s="21">
        <v>0</v>
      </c>
      <c r="U471" s="21">
        <v>200000</v>
      </c>
    </row>
    <row r="472" spans="1:22" ht="21.95" customHeight="1">
      <c r="A472" s="19" t="s">
        <v>1379</v>
      </c>
      <c r="B472" s="24" t="s">
        <v>221</v>
      </c>
      <c r="C472" s="1">
        <f t="shared" si="123"/>
        <v>4480995</v>
      </c>
      <c r="D472" s="21">
        <f t="shared" si="146"/>
        <v>618715</v>
      </c>
      <c r="E472" s="21">
        <f>350*426.7</f>
        <v>149345</v>
      </c>
      <c r="F472" s="21">
        <f>800*426.7</f>
        <v>341360</v>
      </c>
      <c r="G472" s="21">
        <f>300*426.7</f>
        <v>128010</v>
      </c>
      <c r="H472" s="21">
        <f>500*0</f>
        <v>0</v>
      </c>
      <c r="I472" s="21">
        <f>400*0</f>
        <v>0</v>
      </c>
      <c r="J472" s="21">
        <f t="shared" si="147"/>
        <v>0</v>
      </c>
      <c r="K472" s="5">
        <v>0</v>
      </c>
      <c r="L472" s="3">
        <v>0</v>
      </c>
      <c r="M472" s="3">
        <v>533.32000000000005</v>
      </c>
      <c r="N472" s="3">
        <v>2826596</v>
      </c>
      <c r="O472" s="3">
        <v>0</v>
      </c>
      <c r="P472" s="3">
        <v>0</v>
      </c>
      <c r="Q472" s="3">
        <v>320.8</v>
      </c>
      <c r="R472" s="3">
        <v>835684</v>
      </c>
      <c r="S472" s="3">
        <v>0</v>
      </c>
      <c r="T472" s="21">
        <v>0</v>
      </c>
      <c r="U472" s="3">
        <v>200000</v>
      </c>
      <c r="V472" s="13"/>
    </row>
    <row r="473" spans="1:22" ht="21.95" customHeight="1">
      <c r="A473" s="19" t="s">
        <v>1380</v>
      </c>
      <c r="B473" s="24" t="s">
        <v>222</v>
      </c>
      <c r="C473" s="1">
        <f t="shared" si="123"/>
        <v>3730191.5</v>
      </c>
      <c r="D473" s="21">
        <f t="shared" si="146"/>
        <v>526350</v>
      </c>
      <c r="E473" s="21">
        <f>350*363</f>
        <v>127050</v>
      </c>
      <c r="F473" s="21">
        <f>800*363</f>
        <v>290400</v>
      </c>
      <c r="G473" s="21">
        <f>300*363</f>
        <v>108900</v>
      </c>
      <c r="H473" s="21">
        <f>500*0</f>
        <v>0</v>
      </c>
      <c r="I473" s="21">
        <f>400*0</f>
        <v>0</v>
      </c>
      <c r="J473" s="21">
        <f t="shared" si="147"/>
        <v>0</v>
      </c>
      <c r="K473" s="40">
        <v>0</v>
      </c>
      <c r="L473" s="21">
        <v>0</v>
      </c>
      <c r="M473" s="21">
        <v>454.25</v>
      </c>
      <c r="N473" s="21">
        <v>2407525</v>
      </c>
      <c r="O473" s="21">
        <v>0</v>
      </c>
      <c r="P473" s="21">
        <v>0</v>
      </c>
      <c r="Q473" s="21">
        <v>267.3</v>
      </c>
      <c r="R473" s="21">
        <v>696316.5</v>
      </c>
      <c r="S473" s="21">
        <v>0</v>
      </c>
      <c r="T473" s="21">
        <v>0</v>
      </c>
      <c r="U473" s="21">
        <v>100000</v>
      </c>
    </row>
    <row r="474" spans="1:22" ht="21.95" customHeight="1">
      <c r="A474" s="19" t="s">
        <v>1381</v>
      </c>
      <c r="B474" s="24" t="s">
        <v>223</v>
      </c>
      <c r="C474" s="1">
        <f t="shared" si="123"/>
        <v>4872369</v>
      </c>
      <c r="D474" s="21">
        <f t="shared" si="146"/>
        <v>995930</v>
      </c>
      <c r="E474" s="21">
        <f>350*423.8</f>
        <v>148330</v>
      </c>
      <c r="F474" s="21">
        <f>800*423.8</f>
        <v>339040</v>
      </c>
      <c r="G474" s="21">
        <f>300*423.8</f>
        <v>127140</v>
      </c>
      <c r="H474" s="21">
        <f>500*423.8</f>
        <v>211900</v>
      </c>
      <c r="I474" s="21">
        <f>400*423.8</f>
        <v>169520</v>
      </c>
      <c r="J474" s="21">
        <f t="shared" si="147"/>
        <v>0</v>
      </c>
      <c r="K474" s="40">
        <v>0</v>
      </c>
      <c r="L474" s="21">
        <v>0</v>
      </c>
      <c r="M474" s="21">
        <v>487.88</v>
      </c>
      <c r="N474" s="21">
        <v>2585764</v>
      </c>
      <c r="O474" s="21">
        <v>0</v>
      </c>
      <c r="P474" s="21">
        <v>0</v>
      </c>
      <c r="Q474" s="21">
        <v>395</v>
      </c>
      <c r="R474" s="21">
        <v>1028975</v>
      </c>
      <c r="S474" s="21">
        <v>161700</v>
      </c>
      <c r="T474" s="21">
        <v>0</v>
      </c>
      <c r="U474" s="21">
        <v>100000</v>
      </c>
    </row>
    <row r="475" spans="1:22" ht="21.95" customHeight="1">
      <c r="A475" s="19" t="s">
        <v>1382</v>
      </c>
      <c r="B475" s="24" t="s">
        <v>224</v>
      </c>
      <c r="C475" s="1">
        <f t="shared" si="123"/>
        <v>4241525</v>
      </c>
      <c r="D475" s="21">
        <f t="shared" si="146"/>
        <v>688785</v>
      </c>
      <c r="E475" s="21">
        <f>350*293.1</f>
        <v>102585.00000000001</v>
      </c>
      <c r="F475" s="21">
        <f>800*293.1</f>
        <v>234480.00000000003</v>
      </c>
      <c r="G475" s="21">
        <f>300*293.1</f>
        <v>87930</v>
      </c>
      <c r="H475" s="21">
        <f>500*293.1</f>
        <v>146550</v>
      </c>
      <c r="I475" s="21">
        <f>400*293.1</f>
        <v>117240.00000000001</v>
      </c>
      <c r="J475" s="21">
        <f t="shared" si="147"/>
        <v>0</v>
      </c>
      <c r="K475" s="40">
        <v>0</v>
      </c>
      <c r="L475" s="21">
        <v>0</v>
      </c>
      <c r="M475" s="21">
        <v>371.5</v>
      </c>
      <c r="N475" s="21">
        <v>1968950</v>
      </c>
      <c r="O475" s="21">
        <v>0</v>
      </c>
      <c r="P475" s="21">
        <v>0</v>
      </c>
      <c r="Q475" s="21">
        <v>478</v>
      </c>
      <c r="R475" s="21">
        <v>1245190</v>
      </c>
      <c r="S475" s="21">
        <v>138600</v>
      </c>
      <c r="T475" s="21">
        <v>0</v>
      </c>
      <c r="U475" s="21">
        <v>200000</v>
      </c>
    </row>
    <row r="476" spans="1:22" ht="21.95" customHeight="1">
      <c r="A476" s="19" t="s">
        <v>1383</v>
      </c>
      <c r="B476" s="24" t="s">
        <v>1593</v>
      </c>
      <c r="C476" s="1">
        <f t="shared" si="123"/>
        <v>3009120.2</v>
      </c>
      <c r="D476" s="21">
        <f t="shared" si="146"/>
        <v>0</v>
      </c>
      <c r="E476" s="21">
        <v>0</v>
      </c>
      <c r="F476" s="21">
        <v>0</v>
      </c>
      <c r="G476" s="21">
        <v>0</v>
      </c>
      <c r="H476" s="21">
        <v>0</v>
      </c>
      <c r="I476" s="21">
        <v>0</v>
      </c>
      <c r="J476" s="21">
        <v>0</v>
      </c>
      <c r="K476" s="40">
        <v>0</v>
      </c>
      <c r="L476" s="21">
        <v>0</v>
      </c>
      <c r="M476" s="21">
        <v>336.25</v>
      </c>
      <c r="N476" s="21">
        <f>M476*5300</f>
        <v>1782125</v>
      </c>
      <c r="O476" s="21">
        <v>0</v>
      </c>
      <c r="P476" s="21">
        <v>0</v>
      </c>
      <c r="Q476" s="21">
        <v>394.24</v>
      </c>
      <c r="R476" s="21">
        <f>Q476*2605</f>
        <v>1026995.2000000001</v>
      </c>
      <c r="S476" s="21">
        <v>0</v>
      </c>
      <c r="T476" s="21">
        <v>0</v>
      </c>
      <c r="U476" s="21">
        <v>200000</v>
      </c>
    </row>
    <row r="477" spans="1:22" ht="21.95" customHeight="1">
      <c r="A477" s="19" t="s">
        <v>1384</v>
      </c>
      <c r="B477" s="24" t="s">
        <v>1921</v>
      </c>
      <c r="C477" s="1">
        <f t="shared" si="123"/>
        <v>2404240</v>
      </c>
      <c r="D477" s="21">
        <f t="shared" si="146"/>
        <v>2304240</v>
      </c>
      <c r="E477" s="21">
        <f>350*960.1</f>
        <v>336035</v>
      </c>
      <c r="F477" s="21">
        <f>800*960.1</f>
        <v>768080</v>
      </c>
      <c r="G477" s="21">
        <f>350*960.1</f>
        <v>336035</v>
      </c>
      <c r="H477" s="21">
        <f>500*960.1</f>
        <v>480050</v>
      </c>
      <c r="I477" s="21">
        <f>400*960.1</f>
        <v>384040</v>
      </c>
      <c r="J477" s="21">
        <v>0</v>
      </c>
      <c r="K477" s="40">
        <v>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0</v>
      </c>
      <c r="R477" s="21">
        <v>0</v>
      </c>
      <c r="S477" s="21">
        <v>0</v>
      </c>
      <c r="T477" s="21">
        <v>0</v>
      </c>
      <c r="U477" s="21">
        <v>100000</v>
      </c>
    </row>
    <row r="478" spans="1:22" ht="21.95" customHeight="1">
      <c r="A478" s="19" t="s">
        <v>1385</v>
      </c>
      <c r="B478" s="24" t="s">
        <v>1922</v>
      </c>
      <c r="C478" s="1">
        <f t="shared" si="123"/>
        <v>2452240</v>
      </c>
      <c r="D478" s="21">
        <f t="shared" si="146"/>
        <v>2352240</v>
      </c>
      <c r="E478" s="21">
        <f>350*980.1</f>
        <v>343035</v>
      </c>
      <c r="F478" s="21">
        <f>800*980.1</f>
        <v>784080</v>
      </c>
      <c r="G478" s="21">
        <f>350*980.1</f>
        <v>343035</v>
      </c>
      <c r="H478" s="21">
        <f>500*980.1</f>
        <v>490050</v>
      </c>
      <c r="I478" s="21">
        <f>400*980.1</f>
        <v>392040</v>
      </c>
      <c r="J478" s="21">
        <v>0</v>
      </c>
      <c r="K478" s="40">
        <v>0</v>
      </c>
      <c r="L478" s="21">
        <v>0</v>
      </c>
      <c r="M478" s="21">
        <v>0</v>
      </c>
      <c r="N478" s="21">
        <v>0</v>
      </c>
      <c r="O478" s="21">
        <v>0</v>
      </c>
      <c r="P478" s="21">
        <v>0</v>
      </c>
      <c r="Q478" s="21">
        <v>0</v>
      </c>
      <c r="R478" s="21">
        <v>0</v>
      </c>
      <c r="S478" s="21">
        <v>0</v>
      </c>
      <c r="T478" s="21">
        <v>0</v>
      </c>
      <c r="U478" s="21">
        <v>100000</v>
      </c>
    </row>
    <row r="479" spans="1:22" ht="45" customHeight="1">
      <c r="A479" s="55" t="s">
        <v>232</v>
      </c>
      <c r="B479" s="55"/>
      <c r="C479" s="1">
        <f t="shared" si="123"/>
        <v>26552258.5</v>
      </c>
      <c r="D479" s="1">
        <f t="shared" ref="D479:U479" si="148">SUM(D480:D487)</f>
        <v>3083489</v>
      </c>
      <c r="E479" s="1">
        <f t="shared" si="148"/>
        <v>610834</v>
      </c>
      <c r="F479" s="1">
        <f t="shared" si="148"/>
        <v>858112</v>
      </c>
      <c r="G479" s="1">
        <f t="shared" si="148"/>
        <v>537527</v>
      </c>
      <c r="H479" s="1">
        <f t="shared" si="148"/>
        <v>536320</v>
      </c>
      <c r="I479" s="1">
        <f t="shared" si="148"/>
        <v>540696</v>
      </c>
      <c r="J479" s="1">
        <f t="shared" si="148"/>
        <v>0</v>
      </c>
      <c r="K479" s="42">
        <f t="shared" si="148"/>
        <v>0</v>
      </c>
      <c r="L479" s="1">
        <f t="shared" si="148"/>
        <v>0</v>
      </c>
      <c r="M479" s="1">
        <f t="shared" si="148"/>
        <v>2505.09</v>
      </c>
      <c r="N479" s="1">
        <f t="shared" si="148"/>
        <v>11791202</v>
      </c>
      <c r="O479" s="1">
        <f t="shared" si="148"/>
        <v>0</v>
      </c>
      <c r="P479" s="1">
        <f t="shared" si="148"/>
        <v>0</v>
      </c>
      <c r="Q479" s="1">
        <f t="shared" si="148"/>
        <v>3655.9</v>
      </c>
      <c r="R479" s="1">
        <f t="shared" si="148"/>
        <v>9232901.5</v>
      </c>
      <c r="S479" s="1">
        <f t="shared" si="148"/>
        <v>1044666</v>
      </c>
      <c r="T479" s="1">
        <f t="shared" si="148"/>
        <v>0</v>
      </c>
      <c r="U479" s="1">
        <f t="shared" si="148"/>
        <v>1400000</v>
      </c>
    </row>
    <row r="480" spans="1:22" ht="21.95" customHeight="1">
      <c r="A480" s="19" t="s">
        <v>1386</v>
      </c>
      <c r="B480" s="24" t="s">
        <v>233</v>
      </c>
      <c r="C480" s="1">
        <f t="shared" si="123"/>
        <v>6066747.2999999998</v>
      </c>
      <c r="D480" s="21">
        <f t="shared" ref="D480:D487" si="149">SUM(E480:J480)</f>
        <v>1209169</v>
      </c>
      <c r="E480" s="21">
        <f>350*514.54</f>
        <v>180089</v>
      </c>
      <c r="F480" s="21">
        <f>800*514.54</f>
        <v>411632</v>
      </c>
      <c r="G480" s="21">
        <f>300*514.54</f>
        <v>154362</v>
      </c>
      <c r="H480" s="21">
        <f>500*514.54</f>
        <v>257269.99999999997</v>
      </c>
      <c r="I480" s="21">
        <f>400*514.54</f>
        <v>205816</v>
      </c>
      <c r="J480" s="21">
        <f>350*0</f>
        <v>0</v>
      </c>
      <c r="K480" s="40">
        <v>0</v>
      </c>
      <c r="L480" s="21">
        <v>0</v>
      </c>
      <c r="M480" s="21">
        <v>679.36</v>
      </c>
      <c r="N480" s="21">
        <v>3260928</v>
      </c>
      <c r="O480" s="21">
        <v>0</v>
      </c>
      <c r="P480" s="21">
        <v>0</v>
      </c>
      <c r="Q480" s="21">
        <v>464.46</v>
      </c>
      <c r="R480" s="21">
        <v>1209918.3</v>
      </c>
      <c r="S480" s="21">
        <v>186732</v>
      </c>
      <c r="T480" s="21">
        <v>0</v>
      </c>
      <c r="U480" s="21">
        <v>200000</v>
      </c>
    </row>
    <row r="481" spans="1:22" ht="21.95" customHeight="1">
      <c r="A481" s="19" t="s">
        <v>1387</v>
      </c>
      <c r="B481" s="24" t="s">
        <v>234</v>
      </c>
      <c r="C481" s="1">
        <f t="shared" si="123"/>
        <v>2922575</v>
      </c>
      <c r="D481" s="21">
        <f t="shared" si="149"/>
        <v>1311535</v>
      </c>
      <c r="E481" s="21">
        <f>350*558.1</f>
        <v>195335</v>
      </c>
      <c r="F481" s="21">
        <f>800*558.1</f>
        <v>446480</v>
      </c>
      <c r="G481" s="21">
        <f>300*558.1</f>
        <v>167430</v>
      </c>
      <c r="H481" s="21">
        <f>500*558.1</f>
        <v>279050</v>
      </c>
      <c r="I481" s="21">
        <f>400*558.1</f>
        <v>223240</v>
      </c>
      <c r="J481" s="21">
        <f>350*0</f>
        <v>0</v>
      </c>
      <c r="K481" s="40">
        <v>0</v>
      </c>
      <c r="L481" s="21">
        <v>0</v>
      </c>
      <c r="M481" s="21">
        <v>0</v>
      </c>
      <c r="N481" s="21">
        <v>0</v>
      </c>
      <c r="O481" s="21">
        <v>0</v>
      </c>
      <c r="P481" s="21">
        <v>0</v>
      </c>
      <c r="Q481" s="21">
        <v>470</v>
      </c>
      <c r="R481" s="21">
        <v>1224350</v>
      </c>
      <c r="S481" s="21">
        <v>186690</v>
      </c>
      <c r="T481" s="21">
        <v>0</v>
      </c>
      <c r="U481" s="21">
        <v>200000</v>
      </c>
    </row>
    <row r="482" spans="1:22" ht="21.95" customHeight="1">
      <c r="A482" s="19" t="s">
        <v>1388</v>
      </c>
      <c r="B482" s="24" t="s">
        <v>239</v>
      </c>
      <c r="C482" s="1">
        <f t="shared" si="123"/>
        <v>4120306</v>
      </c>
      <c r="D482" s="21">
        <f t="shared" si="149"/>
        <v>0</v>
      </c>
      <c r="E482" s="21">
        <v>0</v>
      </c>
      <c r="F482" s="21">
        <v>0</v>
      </c>
      <c r="G482" s="21">
        <v>0</v>
      </c>
      <c r="H482" s="21">
        <v>0</v>
      </c>
      <c r="I482" s="21">
        <v>0</v>
      </c>
      <c r="J482" s="21">
        <v>0</v>
      </c>
      <c r="K482" s="40">
        <v>0</v>
      </c>
      <c r="L482" s="21">
        <v>0</v>
      </c>
      <c r="M482" s="21">
        <v>459.48</v>
      </c>
      <c r="N482" s="21">
        <f>M482*5300</f>
        <v>2435244</v>
      </c>
      <c r="O482" s="21">
        <v>0</v>
      </c>
      <c r="P482" s="21">
        <v>0</v>
      </c>
      <c r="Q482" s="21">
        <v>648</v>
      </c>
      <c r="R482" s="21">
        <v>1397322</v>
      </c>
      <c r="S482" s="21">
        <v>187740</v>
      </c>
      <c r="T482" s="21">
        <v>0</v>
      </c>
      <c r="U482" s="21">
        <v>100000</v>
      </c>
    </row>
    <row r="483" spans="1:22" ht="21.95" customHeight="1">
      <c r="A483" s="19" t="s">
        <v>1389</v>
      </c>
      <c r="B483" s="24" t="s">
        <v>236</v>
      </c>
      <c r="C483" s="1">
        <f t="shared" si="123"/>
        <v>325580</v>
      </c>
      <c r="D483" s="21">
        <f t="shared" si="149"/>
        <v>0</v>
      </c>
      <c r="E483" s="21">
        <v>0</v>
      </c>
      <c r="F483" s="21">
        <v>0</v>
      </c>
      <c r="G483" s="21">
        <v>0</v>
      </c>
      <c r="H483" s="21">
        <v>0</v>
      </c>
      <c r="I483" s="21">
        <v>0</v>
      </c>
      <c r="J483" s="21">
        <v>0</v>
      </c>
      <c r="K483" s="40">
        <v>0</v>
      </c>
      <c r="L483" s="21">
        <v>0</v>
      </c>
      <c r="M483" s="21">
        <v>0</v>
      </c>
      <c r="N483" s="21">
        <v>0</v>
      </c>
      <c r="O483" s="21">
        <v>0</v>
      </c>
      <c r="P483" s="21">
        <v>0</v>
      </c>
      <c r="Q483" s="21">
        <v>0</v>
      </c>
      <c r="R483" s="21">
        <v>0</v>
      </c>
      <c r="S483" s="21">
        <v>125580</v>
      </c>
      <c r="T483" s="21">
        <v>0</v>
      </c>
      <c r="U483" s="21">
        <v>200000</v>
      </c>
    </row>
    <row r="484" spans="1:22" ht="21.95" customHeight="1">
      <c r="A484" s="19" t="s">
        <v>1390</v>
      </c>
      <c r="B484" s="24" t="s">
        <v>242</v>
      </c>
      <c r="C484" s="1">
        <f t="shared" si="123"/>
        <v>3140022</v>
      </c>
      <c r="D484" s="21">
        <f t="shared" si="149"/>
        <v>255775</v>
      </c>
      <c r="E484" s="21">
        <f>350*393.5</f>
        <v>137725</v>
      </c>
      <c r="F484" s="21">
        <v>0</v>
      </c>
      <c r="G484" s="21">
        <f>300*393.5</f>
        <v>118050</v>
      </c>
      <c r="H484" s="21">
        <v>0</v>
      </c>
      <c r="I484" s="21">
        <v>0</v>
      </c>
      <c r="J484" s="21">
        <f>350*0</f>
        <v>0</v>
      </c>
      <c r="K484" s="40">
        <v>0</v>
      </c>
      <c r="L484" s="21">
        <v>0</v>
      </c>
      <c r="M484" s="21">
        <v>317.19</v>
      </c>
      <c r="N484" s="21">
        <v>1522512</v>
      </c>
      <c r="O484" s="21">
        <v>0</v>
      </c>
      <c r="P484" s="21">
        <v>0</v>
      </c>
      <c r="Q484" s="21">
        <v>393</v>
      </c>
      <c r="R484" s="21">
        <v>1023765</v>
      </c>
      <c r="S484" s="21">
        <v>137970</v>
      </c>
      <c r="T484" s="21">
        <v>0</v>
      </c>
      <c r="U484" s="21">
        <v>200000</v>
      </c>
    </row>
    <row r="485" spans="1:22" ht="21.95" customHeight="1">
      <c r="A485" s="19" t="s">
        <v>1391</v>
      </c>
      <c r="B485" s="24" t="s">
        <v>245</v>
      </c>
      <c r="C485" s="1">
        <f t="shared" si="123"/>
        <v>3870307.2</v>
      </c>
      <c r="D485" s="21">
        <f t="shared" si="149"/>
        <v>307010.00000000006</v>
      </c>
      <c r="E485" s="21">
        <f>350*279.1</f>
        <v>97685.000000000015</v>
      </c>
      <c r="F485" s="21">
        <f>800*0</f>
        <v>0</v>
      </c>
      <c r="G485" s="21">
        <f>350*279.1</f>
        <v>97685.000000000015</v>
      </c>
      <c r="H485" s="21">
        <f>500*0</f>
        <v>0</v>
      </c>
      <c r="I485" s="21">
        <f>400*279.1</f>
        <v>111640.00000000001</v>
      </c>
      <c r="J485" s="21">
        <v>0</v>
      </c>
      <c r="K485" s="40">
        <v>0</v>
      </c>
      <c r="L485" s="21">
        <v>0</v>
      </c>
      <c r="M485" s="21">
        <v>351.87</v>
      </c>
      <c r="N485" s="21">
        <f>M485*5300</f>
        <v>1864911</v>
      </c>
      <c r="O485" s="21">
        <v>0</v>
      </c>
      <c r="P485" s="21">
        <v>0</v>
      </c>
      <c r="Q485" s="21">
        <v>568.44000000000005</v>
      </c>
      <c r="R485" s="21">
        <v>1480786.2</v>
      </c>
      <c r="S485" s="21">
        <v>117600</v>
      </c>
      <c r="T485" s="21">
        <v>0</v>
      </c>
      <c r="U485" s="21">
        <v>100000</v>
      </c>
    </row>
    <row r="486" spans="1:22" ht="21.95" customHeight="1">
      <c r="A486" s="19" t="s">
        <v>1789</v>
      </c>
      <c r="B486" s="24" t="s">
        <v>1527</v>
      </c>
      <c r="C486" s="1">
        <f t="shared" ref="C486:C549" si="150">D486+L486+N486+P486+R486+S486+T486+U486</f>
        <v>3710185</v>
      </c>
      <c r="D486" s="21">
        <f t="shared" si="149"/>
        <v>0</v>
      </c>
      <c r="E486" s="21">
        <v>0</v>
      </c>
      <c r="F486" s="21">
        <v>0</v>
      </c>
      <c r="G486" s="21">
        <v>0</v>
      </c>
      <c r="H486" s="21">
        <v>0</v>
      </c>
      <c r="I486" s="21">
        <v>0</v>
      </c>
      <c r="J486" s="21">
        <v>0</v>
      </c>
      <c r="K486" s="40">
        <v>0</v>
      </c>
      <c r="L486" s="21">
        <v>0</v>
      </c>
      <c r="M486" s="21">
        <v>493.75</v>
      </c>
      <c r="N486" s="21">
        <f>M486*3300</f>
        <v>1629375</v>
      </c>
      <c r="O486" s="21">
        <v>0</v>
      </c>
      <c r="P486" s="21">
        <v>0</v>
      </c>
      <c r="Q486" s="21">
        <v>722</v>
      </c>
      <c r="R486" s="21">
        <f>Q486*2605</f>
        <v>1880810</v>
      </c>
      <c r="S486" s="21">
        <v>0</v>
      </c>
      <c r="T486" s="21">
        <v>0</v>
      </c>
      <c r="U486" s="21">
        <v>200000</v>
      </c>
    </row>
    <row r="487" spans="1:22" ht="21.95" customHeight="1">
      <c r="A487" s="19" t="s">
        <v>1392</v>
      </c>
      <c r="B487" s="24" t="s">
        <v>247</v>
      </c>
      <c r="C487" s="1">
        <f t="shared" si="150"/>
        <v>2396536</v>
      </c>
      <c r="D487" s="21">
        <f t="shared" si="149"/>
        <v>0</v>
      </c>
      <c r="E487" s="21">
        <v>0</v>
      </c>
      <c r="F487" s="21">
        <v>0</v>
      </c>
      <c r="G487" s="21">
        <v>0</v>
      </c>
      <c r="H487" s="21">
        <v>0</v>
      </c>
      <c r="I487" s="21">
        <v>0</v>
      </c>
      <c r="J487" s="21">
        <v>0</v>
      </c>
      <c r="K487" s="40">
        <v>0</v>
      </c>
      <c r="L487" s="21">
        <v>0</v>
      </c>
      <c r="M487" s="21">
        <v>203.44</v>
      </c>
      <c r="N487" s="21">
        <f>M487*5300</f>
        <v>1078232</v>
      </c>
      <c r="O487" s="21">
        <v>0</v>
      </c>
      <c r="P487" s="21">
        <v>0</v>
      </c>
      <c r="Q487" s="21">
        <v>390</v>
      </c>
      <c r="R487" s="21">
        <f>Q487*2605</f>
        <v>1015950</v>
      </c>
      <c r="S487" s="21">
        <v>102354</v>
      </c>
      <c r="T487" s="21">
        <v>0</v>
      </c>
      <c r="U487" s="21">
        <v>200000</v>
      </c>
    </row>
    <row r="488" spans="1:22" ht="45" customHeight="1">
      <c r="A488" s="55" t="s">
        <v>1967</v>
      </c>
      <c r="B488" s="55"/>
      <c r="C488" s="1">
        <f t="shared" si="150"/>
        <v>3112900</v>
      </c>
      <c r="D488" s="1">
        <f t="shared" ref="D488:U488" si="151">SUM(D489)</f>
        <v>0</v>
      </c>
      <c r="E488" s="1">
        <f t="shared" si="151"/>
        <v>0</v>
      </c>
      <c r="F488" s="1">
        <f t="shared" si="151"/>
        <v>0</v>
      </c>
      <c r="G488" s="1">
        <f t="shared" si="151"/>
        <v>0</v>
      </c>
      <c r="H488" s="1">
        <f t="shared" si="151"/>
        <v>0</v>
      </c>
      <c r="I488" s="1">
        <f t="shared" si="151"/>
        <v>0</v>
      </c>
      <c r="J488" s="1">
        <f t="shared" si="151"/>
        <v>0</v>
      </c>
      <c r="K488" s="42">
        <f t="shared" si="151"/>
        <v>0</v>
      </c>
      <c r="L488" s="1">
        <f t="shared" si="151"/>
        <v>0</v>
      </c>
      <c r="M488" s="1">
        <f t="shared" si="151"/>
        <v>353</v>
      </c>
      <c r="N488" s="1">
        <f t="shared" si="151"/>
        <v>1870900</v>
      </c>
      <c r="O488" s="1">
        <f t="shared" si="151"/>
        <v>0</v>
      </c>
      <c r="P488" s="1">
        <f t="shared" si="151"/>
        <v>0</v>
      </c>
      <c r="Q488" s="1">
        <f t="shared" si="151"/>
        <v>400</v>
      </c>
      <c r="R488" s="1">
        <f t="shared" si="151"/>
        <v>1042000</v>
      </c>
      <c r="S488" s="1">
        <f t="shared" si="151"/>
        <v>0</v>
      </c>
      <c r="T488" s="1">
        <f t="shared" si="151"/>
        <v>0</v>
      </c>
      <c r="U488" s="1">
        <f t="shared" si="151"/>
        <v>200000</v>
      </c>
      <c r="V488" s="13">
        <f>C488</f>
        <v>3112900</v>
      </c>
    </row>
    <row r="489" spans="1:22" ht="21.95" customHeight="1">
      <c r="A489" s="19" t="s">
        <v>1393</v>
      </c>
      <c r="B489" s="24" t="s">
        <v>1528</v>
      </c>
      <c r="C489" s="1">
        <f t="shared" si="150"/>
        <v>3112900</v>
      </c>
      <c r="D489" s="21">
        <f t="shared" ref="D489" si="152">SUM(E489:J489)</f>
        <v>0</v>
      </c>
      <c r="E489" s="21">
        <v>0</v>
      </c>
      <c r="F489" s="21">
        <v>0</v>
      </c>
      <c r="G489" s="21">
        <v>0</v>
      </c>
      <c r="H489" s="21">
        <v>0</v>
      </c>
      <c r="I489" s="21">
        <v>0</v>
      </c>
      <c r="J489" s="21">
        <v>0</v>
      </c>
      <c r="K489" s="40">
        <v>0</v>
      </c>
      <c r="L489" s="21">
        <v>0</v>
      </c>
      <c r="M489" s="21">
        <v>353</v>
      </c>
      <c r="N489" s="21">
        <f>M489*5300</f>
        <v>1870900</v>
      </c>
      <c r="O489" s="21">
        <v>0</v>
      </c>
      <c r="P489" s="21">
        <v>0</v>
      </c>
      <c r="Q489" s="21">
        <v>400</v>
      </c>
      <c r="R489" s="21">
        <f>Q489*2605</f>
        <v>1042000</v>
      </c>
      <c r="S489" s="21">
        <v>0</v>
      </c>
      <c r="T489" s="21">
        <v>0</v>
      </c>
      <c r="U489" s="21">
        <v>200000</v>
      </c>
    </row>
    <row r="490" spans="1:22" ht="45" customHeight="1">
      <c r="A490" s="55" t="s">
        <v>250</v>
      </c>
      <c r="B490" s="55"/>
      <c r="C490" s="1">
        <f t="shared" si="150"/>
        <v>9533676.5</v>
      </c>
      <c r="D490" s="1">
        <f t="shared" ref="D490:U490" si="153">SUM(D491)</f>
        <v>2264225</v>
      </c>
      <c r="E490" s="1">
        <f t="shared" si="153"/>
        <v>337225</v>
      </c>
      <c r="F490" s="1">
        <f t="shared" si="153"/>
        <v>770800</v>
      </c>
      <c r="G490" s="1">
        <f t="shared" si="153"/>
        <v>289050</v>
      </c>
      <c r="H490" s="1">
        <f t="shared" si="153"/>
        <v>481750</v>
      </c>
      <c r="I490" s="1">
        <f t="shared" si="153"/>
        <v>385400</v>
      </c>
      <c r="J490" s="1">
        <f t="shared" si="153"/>
        <v>0</v>
      </c>
      <c r="K490" s="42">
        <f t="shared" si="153"/>
        <v>0</v>
      </c>
      <c r="L490" s="1">
        <f t="shared" si="153"/>
        <v>0</v>
      </c>
      <c r="M490" s="1">
        <f t="shared" si="153"/>
        <v>756.3</v>
      </c>
      <c r="N490" s="1">
        <f t="shared" si="153"/>
        <v>3630240</v>
      </c>
      <c r="O490" s="1">
        <f t="shared" si="153"/>
        <v>0</v>
      </c>
      <c r="P490" s="1">
        <f t="shared" si="153"/>
        <v>0</v>
      </c>
      <c r="Q490" s="1">
        <f t="shared" si="153"/>
        <v>646.29999999999995</v>
      </c>
      <c r="R490" s="1">
        <f t="shared" si="153"/>
        <v>1683611.5</v>
      </c>
      <c r="S490" s="1">
        <f t="shared" si="153"/>
        <v>1755600</v>
      </c>
      <c r="T490" s="1">
        <f t="shared" si="153"/>
        <v>0</v>
      </c>
      <c r="U490" s="1">
        <f t="shared" si="153"/>
        <v>200000</v>
      </c>
      <c r="V490" s="13">
        <f>C490</f>
        <v>9533676.5</v>
      </c>
    </row>
    <row r="491" spans="1:22" ht="21.95" customHeight="1">
      <c r="A491" s="19" t="s">
        <v>1394</v>
      </c>
      <c r="B491" s="24" t="s">
        <v>248</v>
      </c>
      <c r="C491" s="1">
        <f t="shared" si="150"/>
        <v>9533676.5</v>
      </c>
      <c r="D491" s="21">
        <f t="shared" ref="D491" si="154">SUM(E491:J491)</f>
        <v>2264225</v>
      </c>
      <c r="E491" s="21">
        <f>350*963.5</f>
        <v>337225</v>
      </c>
      <c r="F491" s="21">
        <f>800*963.5</f>
        <v>770800</v>
      </c>
      <c r="G491" s="21">
        <f>300*963.5</f>
        <v>289050</v>
      </c>
      <c r="H491" s="21">
        <f>500*963.5</f>
        <v>481750</v>
      </c>
      <c r="I491" s="21">
        <f>400*963.5</f>
        <v>385400</v>
      </c>
      <c r="J491" s="21">
        <f>350*0</f>
        <v>0</v>
      </c>
      <c r="K491" s="40">
        <v>0</v>
      </c>
      <c r="L491" s="21">
        <v>0</v>
      </c>
      <c r="M491" s="21">
        <v>756.3</v>
      </c>
      <c r="N491" s="21">
        <v>3630240</v>
      </c>
      <c r="O491" s="21">
        <v>0</v>
      </c>
      <c r="P491" s="21">
        <v>0</v>
      </c>
      <c r="Q491" s="21">
        <v>646.29999999999995</v>
      </c>
      <c r="R491" s="21">
        <v>1683611.5</v>
      </c>
      <c r="S491" s="21">
        <v>1755600</v>
      </c>
      <c r="T491" s="21">
        <v>0</v>
      </c>
      <c r="U491" s="21">
        <v>200000</v>
      </c>
    </row>
    <row r="492" spans="1:22" ht="45" customHeight="1">
      <c r="A492" s="55" t="s">
        <v>275</v>
      </c>
      <c r="B492" s="55"/>
      <c r="C492" s="1">
        <f t="shared" si="150"/>
        <v>94897139.099999994</v>
      </c>
      <c r="D492" s="1">
        <f t="shared" ref="D492:U492" si="155">SUM(D493:D507)</f>
        <v>23979237.5</v>
      </c>
      <c r="E492" s="1">
        <f t="shared" si="155"/>
        <v>4536612.5</v>
      </c>
      <c r="F492" s="1">
        <f t="shared" si="155"/>
        <v>10369400</v>
      </c>
      <c r="G492" s="1">
        <f t="shared" si="155"/>
        <v>3888525</v>
      </c>
      <c r="H492" s="1">
        <f t="shared" si="155"/>
        <v>0</v>
      </c>
      <c r="I492" s="1">
        <f t="shared" si="155"/>
        <v>5184700</v>
      </c>
      <c r="J492" s="1">
        <f t="shared" si="155"/>
        <v>0</v>
      </c>
      <c r="K492" s="42">
        <f t="shared" si="155"/>
        <v>0</v>
      </c>
      <c r="L492" s="1">
        <f t="shared" si="155"/>
        <v>0</v>
      </c>
      <c r="M492" s="1">
        <f t="shared" si="155"/>
        <v>8450.2599999999984</v>
      </c>
      <c r="N492" s="1">
        <f t="shared" si="155"/>
        <v>37879058</v>
      </c>
      <c r="O492" s="1">
        <f t="shared" si="155"/>
        <v>839.4</v>
      </c>
      <c r="P492" s="1">
        <f t="shared" si="155"/>
        <v>2434260</v>
      </c>
      <c r="Q492" s="1">
        <f t="shared" si="155"/>
        <v>10750.32</v>
      </c>
      <c r="R492" s="1">
        <f t="shared" si="155"/>
        <v>28004583.600000001</v>
      </c>
      <c r="S492" s="1">
        <f t="shared" si="155"/>
        <v>0</v>
      </c>
      <c r="T492" s="1">
        <f t="shared" si="155"/>
        <v>0</v>
      </c>
      <c r="U492" s="1">
        <f t="shared" si="155"/>
        <v>2600000</v>
      </c>
    </row>
    <row r="493" spans="1:22" ht="24.95" customHeight="1">
      <c r="A493" s="17" t="s">
        <v>1395</v>
      </c>
      <c r="B493" s="24" t="s">
        <v>1933</v>
      </c>
      <c r="C493" s="1">
        <f t="shared" si="150"/>
        <v>200000</v>
      </c>
      <c r="D493" s="21">
        <f t="shared" ref="D493:D507" si="156">SUM(E493:J493)</f>
        <v>0</v>
      </c>
      <c r="E493" s="3">
        <v>0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5">
        <v>0</v>
      </c>
      <c r="L493" s="3">
        <v>0</v>
      </c>
      <c r="M493" s="3">
        <v>0</v>
      </c>
      <c r="N493" s="3">
        <v>0</v>
      </c>
      <c r="O493" s="3">
        <v>0</v>
      </c>
      <c r="P493" s="3">
        <v>0</v>
      </c>
      <c r="Q493" s="3">
        <v>0</v>
      </c>
      <c r="R493" s="3">
        <v>0</v>
      </c>
      <c r="S493" s="3">
        <v>0</v>
      </c>
      <c r="T493" s="3">
        <v>0</v>
      </c>
      <c r="U493" s="3">
        <v>200000</v>
      </c>
    </row>
    <row r="494" spans="1:22" ht="24.95" customHeight="1">
      <c r="A494" s="17" t="s">
        <v>1396</v>
      </c>
      <c r="B494" s="29" t="s">
        <v>256</v>
      </c>
      <c r="C494" s="1">
        <f t="shared" si="150"/>
        <v>6838610</v>
      </c>
      <c r="D494" s="21">
        <f t="shared" si="156"/>
        <v>1271135</v>
      </c>
      <c r="E494" s="21">
        <f>350*687.1</f>
        <v>240485</v>
      </c>
      <c r="F494" s="21">
        <f>800*687.1</f>
        <v>549680</v>
      </c>
      <c r="G494" s="21">
        <f>300*687.1</f>
        <v>206130</v>
      </c>
      <c r="H494" s="21">
        <f t="shared" ref="H494:H503" si="157">500*0</f>
        <v>0</v>
      </c>
      <c r="I494" s="21">
        <f>400*687.1</f>
        <v>274840</v>
      </c>
      <c r="J494" s="21">
        <f t="shared" ref="J494:J503" si="158">350*0</f>
        <v>0</v>
      </c>
      <c r="K494" s="40">
        <v>0</v>
      </c>
      <c r="L494" s="21">
        <v>0</v>
      </c>
      <c r="M494" s="21">
        <v>690</v>
      </c>
      <c r="N494" s="21">
        <f>M494*5300</f>
        <v>3657000</v>
      </c>
      <c r="O494" s="21">
        <v>0</v>
      </c>
      <c r="P494" s="21">
        <v>0</v>
      </c>
      <c r="Q494" s="21">
        <v>695</v>
      </c>
      <c r="R494" s="21">
        <f>Q494*2605</f>
        <v>1810475</v>
      </c>
      <c r="S494" s="21">
        <v>0</v>
      </c>
      <c r="T494" s="21">
        <v>0</v>
      </c>
      <c r="U494" s="21">
        <v>100000</v>
      </c>
    </row>
    <row r="495" spans="1:22" ht="24.95" customHeight="1">
      <c r="A495" s="17" t="s">
        <v>1397</v>
      </c>
      <c r="B495" s="29" t="s">
        <v>254</v>
      </c>
      <c r="C495" s="1">
        <f t="shared" si="150"/>
        <v>5735095</v>
      </c>
      <c r="D495" s="21">
        <f t="shared" si="156"/>
        <v>1186775</v>
      </c>
      <c r="E495" s="21">
        <f>350*641.5</f>
        <v>224525</v>
      </c>
      <c r="F495" s="21">
        <f>800*641.5</f>
        <v>513200</v>
      </c>
      <c r="G495" s="21">
        <f>300*641.5</f>
        <v>192450</v>
      </c>
      <c r="H495" s="21">
        <f t="shared" si="157"/>
        <v>0</v>
      </c>
      <c r="I495" s="21">
        <f>400*641.5</f>
        <v>256600</v>
      </c>
      <c r="J495" s="21">
        <f t="shared" si="158"/>
        <v>0</v>
      </c>
      <c r="K495" s="40">
        <v>0</v>
      </c>
      <c r="L495" s="21">
        <v>0</v>
      </c>
      <c r="M495" s="21">
        <v>544.4</v>
      </c>
      <c r="N495" s="21">
        <v>2885320</v>
      </c>
      <c r="O495" s="21">
        <v>0</v>
      </c>
      <c r="P495" s="21">
        <v>0</v>
      </c>
      <c r="Q495" s="21">
        <v>600</v>
      </c>
      <c r="R495" s="21">
        <f>Q495*2605</f>
        <v>1563000</v>
      </c>
      <c r="S495" s="21">
        <v>0</v>
      </c>
      <c r="T495" s="21">
        <v>0</v>
      </c>
      <c r="U495" s="21">
        <v>100000</v>
      </c>
    </row>
    <row r="496" spans="1:22" ht="24.95" customHeight="1">
      <c r="A496" s="17" t="s">
        <v>1398</v>
      </c>
      <c r="B496" s="29" t="s">
        <v>258</v>
      </c>
      <c r="C496" s="1">
        <f t="shared" si="150"/>
        <v>2743303.25</v>
      </c>
      <c r="D496" s="21">
        <f t="shared" si="156"/>
        <v>600842.99999999988</v>
      </c>
      <c r="E496" s="21">
        <f>350*324.78</f>
        <v>113672.99999999999</v>
      </c>
      <c r="F496" s="21">
        <f>800*324.78</f>
        <v>259823.99999999997</v>
      </c>
      <c r="G496" s="21">
        <f>300*324.78</f>
        <v>97433.999999999985</v>
      </c>
      <c r="H496" s="21">
        <f t="shared" si="157"/>
        <v>0</v>
      </c>
      <c r="I496" s="21">
        <f>400*324.78</f>
        <v>129911.99999999999</v>
      </c>
      <c r="J496" s="21">
        <f t="shared" si="158"/>
        <v>0</v>
      </c>
      <c r="K496" s="40">
        <v>0</v>
      </c>
      <c r="L496" s="21">
        <v>0</v>
      </c>
      <c r="M496" s="21">
        <v>282.3</v>
      </c>
      <c r="N496" s="21">
        <v>931590</v>
      </c>
      <c r="O496" s="21">
        <v>0</v>
      </c>
      <c r="P496" s="21">
        <v>0</v>
      </c>
      <c r="Q496" s="21">
        <v>388.05</v>
      </c>
      <c r="R496" s="21">
        <v>1010870.25</v>
      </c>
      <c r="S496" s="21">
        <v>0</v>
      </c>
      <c r="T496" s="21">
        <v>0</v>
      </c>
      <c r="U496" s="21">
        <v>200000</v>
      </c>
    </row>
    <row r="497" spans="1:22" ht="24.95" customHeight="1">
      <c r="A497" s="17" t="s">
        <v>1399</v>
      </c>
      <c r="B497" s="29" t="s">
        <v>259</v>
      </c>
      <c r="C497" s="1">
        <f t="shared" si="150"/>
        <v>6458780</v>
      </c>
      <c r="D497" s="21">
        <f t="shared" si="156"/>
        <v>2954080</v>
      </c>
      <c r="E497" s="21">
        <f>350*1596.8</f>
        <v>558880</v>
      </c>
      <c r="F497" s="21">
        <f>800*1596.8</f>
        <v>1277440</v>
      </c>
      <c r="G497" s="21">
        <f>300*1596.8</f>
        <v>479040</v>
      </c>
      <c r="H497" s="21">
        <f t="shared" si="157"/>
        <v>0</v>
      </c>
      <c r="I497" s="21">
        <f>400*1596.8</f>
        <v>638720</v>
      </c>
      <c r="J497" s="21">
        <f t="shared" si="158"/>
        <v>0</v>
      </c>
      <c r="K497" s="40">
        <v>0</v>
      </c>
      <c r="L497" s="21">
        <v>0</v>
      </c>
      <c r="M497" s="21">
        <v>0</v>
      </c>
      <c r="N497" s="21">
        <v>0</v>
      </c>
      <c r="O497" s="21">
        <v>72.400000000000006</v>
      </c>
      <c r="P497" s="21">
        <v>209960</v>
      </c>
      <c r="Q497" s="21">
        <v>1188</v>
      </c>
      <c r="R497" s="21">
        <v>3094740</v>
      </c>
      <c r="S497" s="21">
        <v>0</v>
      </c>
      <c r="T497" s="21">
        <v>0</v>
      </c>
      <c r="U497" s="21">
        <v>200000</v>
      </c>
    </row>
    <row r="498" spans="1:22" ht="24.95" customHeight="1">
      <c r="A498" s="17" t="s">
        <v>1400</v>
      </c>
      <c r="B498" s="29" t="s">
        <v>260</v>
      </c>
      <c r="C498" s="1">
        <f t="shared" si="150"/>
        <v>4760861.8</v>
      </c>
      <c r="D498" s="21">
        <f t="shared" si="156"/>
        <v>1233950</v>
      </c>
      <c r="E498" s="21">
        <f>350*667</f>
        <v>233450</v>
      </c>
      <c r="F498" s="21">
        <f>800*667</f>
        <v>533600</v>
      </c>
      <c r="G498" s="21">
        <f>300*667</f>
        <v>200100</v>
      </c>
      <c r="H498" s="21">
        <f t="shared" si="157"/>
        <v>0</v>
      </c>
      <c r="I498" s="21">
        <f>400*667</f>
        <v>266800</v>
      </c>
      <c r="J498" s="21">
        <f t="shared" si="158"/>
        <v>0</v>
      </c>
      <c r="K498" s="40">
        <v>0</v>
      </c>
      <c r="L498" s="21">
        <v>0</v>
      </c>
      <c r="M498" s="21">
        <v>563.6</v>
      </c>
      <c r="N498" s="21">
        <v>1859880</v>
      </c>
      <c r="O498" s="21">
        <v>0</v>
      </c>
      <c r="P498" s="21">
        <v>0</v>
      </c>
      <c r="Q498" s="21">
        <v>563.16</v>
      </c>
      <c r="R498" s="21">
        <v>1467031.8</v>
      </c>
      <c r="S498" s="21">
        <v>0</v>
      </c>
      <c r="T498" s="21">
        <v>0</v>
      </c>
      <c r="U498" s="21">
        <v>200000</v>
      </c>
    </row>
    <row r="499" spans="1:22" ht="24.95" customHeight="1">
      <c r="A499" s="17" t="s">
        <v>1401</v>
      </c>
      <c r="B499" s="29" t="s">
        <v>261</v>
      </c>
      <c r="C499" s="1">
        <f t="shared" si="150"/>
        <v>11051361.25</v>
      </c>
      <c r="D499" s="21">
        <f t="shared" si="156"/>
        <v>2963885</v>
      </c>
      <c r="E499" s="21">
        <f>350*1602.1</f>
        <v>560735</v>
      </c>
      <c r="F499" s="21">
        <f>800*1602.1</f>
        <v>1281680</v>
      </c>
      <c r="G499" s="21">
        <f>300*1602.1</f>
        <v>480630</v>
      </c>
      <c r="H499" s="21">
        <f t="shared" si="157"/>
        <v>0</v>
      </c>
      <c r="I499" s="21">
        <f>400*1602.1</f>
        <v>640840</v>
      </c>
      <c r="J499" s="21">
        <f t="shared" si="158"/>
        <v>0</v>
      </c>
      <c r="K499" s="40">
        <v>0</v>
      </c>
      <c r="L499" s="21">
        <v>0</v>
      </c>
      <c r="M499" s="21">
        <v>879.1</v>
      </c>
      <c r="N499" s="21">
        <v>4659230</v>
      </c>
      <c r="O499" s="21">
        <v>0</v>
      </c>
      <c r="P499" s="21">
        <v>0</v>
      </c>
      <c r="Q499" s="21">
        <v>1239.25</v>
      </c>
      <c r="R499" s="21">
        <v>3228246.25</v>
      </c>
      <c r="S499" s="21">
        <v>0</v>
      </c>
      <c r="T499" s="21">
        <v>0</v>
      </c>
      <c r="U499" s="21">
        <v>200000</v>
      </c>
    </row>
    <row r="500" spans="1:22" ht="24.95" customHeight="1">
      <c r="A500" s="17" t="s">
        <v>1402</v>
      </c>
      <c r="B500" s="29" t="s">
        <v>262</v>
      </c>
      <c r="C500" s="1">
        <f t="shared" si="150"/>
        <v>5891072.4000000004</v>
      </c>
      <c r="D500" s="21">
        <f t="shared" si="156"/>
        <v>1259887</v>
      </c>
      <c r="E500" s="21">
        <f>350*681.02</f>
        <v>238357</v>
      </c>
      <c r="F500" s="21">
        <f>800*681.02</f>
        <v>544816</v>
      </c>
      <c r="G500" s="21">
        <f>300*681.02</f>
        <v>204306</v>
      </c>
      <c r="H500" s="21">
        <f t="shared" si="157"/>
        <v>0</v>
      </c>
      <c r="I500" s="21">
        <f>400*681.02</f>
        <v>272408</v>
      </c>
      <c r="J500" s="21">
        <f t="shared" si="158"/>
        <v>0</v>
      </c>
      <c r="K500" s="40">
        <v>0</v>
      </c>
      <c r="L500" s="21">
        <v>0</v>
      </c>
      <c r="M500" s="21">
        <v>560.1</v>
      </c>
      <c r="N500" s="21">
        <v>2968530</v>
      </c>
      <c r="O500" s="21">
        <v>0</v>
      </c>
      <c r="P500" s="21">
        <v>0</v>
      </c>
      <c r="Q500" s="21">
        <v>561.48</v>
      </c>
      <c r="R500" s="21">
        <v>1462655.4</v>
      </c>
      <c r="S500" s="21">
        <v>0</v>
      </c>
      <c r="T500" s="21">
        <v>0</v>
      </c>
      <c r="U500" s="21">
        <v>200000</v>
      </c>
    </row>
    <row r="501" spans="1:22" ht="24.95" customHeight="1">
      <c r="A501" s="17" t="s">
        <v>1403</v>
      </c>
      <c r="B501" s="29" t="s">
        <v>264</v>
      </c>
      <c r="C501" s="1">
        <f t="shared" si="150"/>
        <v>2463037.5</v>
      </c>
      <c r="D501" s="21">
        <f t="shared" si="156"/>
        <v>925370</v>
      </c>
      <c r="E501" s="21">
        <f>350*500.2</f>
        <v>175070</v>
      </c>
      <c r="F501" s="21">
        <f>800*500.2</f>
        <v>400160</v>
      </c>
      <c r="G501" s="21">
        <f>300*500.2</f>
        <v>150060</v>
      </c>
      <c r="H501" s="21">
        <f t="shared" si="157"/>
        <v>0</v>
      </c>
      <c r="I501" s="21">
        <f>400*500.2</f>
        <v>200080</v>
      </c>
      <c r="J501" s="21">
        <f t="shared" si="158"/>
        <v>0</v>
      </c>
      <c r="K501" s="40">
        <v>0</v>
      </c>
      <c r="L501" s="21">
        <v>0</v>
      </c>
      <c r="M501" s="21">
        <v>0</v>
      </c>
      <c r="N501" s="21">
        <v>0</v>
      </c>
      <c r="O501" s="21">
        <v>0</v>
      </c>
      <c r="P501" s="21">
        <v>0</v>
      </c>
      <c r="Q501" s="21">
        <v>513.5</v>
      </c>
      <c r="R501" s="21">
        <v>1337667.5</v>
      </c>
      <c r="S501" s="21">
        <v>0</v>
      </c>
      <c r="T501" s="21">
        <v>0</v>
      </c>
      <c r="U501" s="21">
        <v>200000</v>
      </c>
    </row>
    <row r="502" spans="1:22" ht="24.95" customHeight="1">
      <c r="A502" s="17" t="s">
        <v>1404</v>
      </c>
      <c r="B502" s="29" t="s">
        <v>267</v>
      </c>
      <c r="C502" s="1">
        <f t="shared" si="150"/>
        <v>18890041.25</v>
      </c>
      <c r="D502" s="21">
        <f t="shared" si="156"/>
        <v>5225880</v>
      </c>
      <c r="E502" s="21">
        <f>350*2824.8</f>
        <v>988680.00000000012</v>
      </c>
      <c r="F502" s="21">
        <f>800*2824.8</f>
        <v>2259840</v>
      </c>
      <c r="G502" s="21">
        <f>300*2824.8</f>
        <v>847440</v>
      </c>
      <c r="H502" s="21">
        <f t="shared" si="157"/>
        <v>0</v>
      </c>
      <c r="I502" s="21">
        <f>400*2824.8</f>
        <v>1129920</v>
      </c>
      <c r="J502" s="21">
        <f t="shared" si="158"/>
        <v>0</v>
      </c>
      <c r="K502" s="40">
        <v>0</v>
      </c>
      <c r="L502" s="21">
        <v>0</v>
      </c>
      <c r="M502" s="21">
        <v>1180.8</v>
      </c>
      <c r="N502" s="21">
        <v>5667840</v>
      </c>
      <c r="O502" s="21">
        <v>740.7</v>
      </c>
      <c r="P502" s="21">
        <v>2148030</v>
      </c>
      <c r="Q502" s="21">
        <v>2168.25</v>
      </c>
      <c r="R502" s="21">
        <v>5648291.25</v>
      </c>
      <c r="S502" s="21">
        <v>0</v>
      </c>
      <c r="T502" s="21">
        <v>0</v>
      </c>
      <c r="U502" s="21">
        <v>200000</v>
      </c>
    </row>
    <row r="503" spans="1:22" ht="24.95" customHeight="1">
      <c r="A503" s="17" t="s">
        <v>1405</v>
      </c>
      <c r="B503" s="29" t="s">
        <v>265</v>
      </c>
      <c r="C503" s="1">
        <f t="shared" si="150"/>
        <v>12108709.15</v>
      </c>
      <c r="D503" s="21">
        <f t="shared" si="156"/>
        <v>3422222.5</v>
      </c>
      <c r="E503" s="21">
        <f>350*1849.85</f>
        <v>647447.5</v>
      </c>
      <c r="F503" s="21">
        <f>800*1849.85</f>
        <v>1479880</v>
      </c>
      <c r="G503" s="21">
        <f>300*1849.85</f>
        <v>554955</v>
      </c>
      <c r="H503" s="21">
        <f t="shared" si="157"/>
        <v>0</v>
      </c>
      <c r="I503" s="21">
        <f>400*1849.85</f>
        <v>739940</v>
      </c>
      <c r="J503" s="21">
        <f t="shared" si="158"/>
        <v>0</v>
      </c>
      <c r="K503" s="40">
        <v>0</v>
      </c>
      <c r="L503" s="21">
        <v>0</v>
      </c>
      <c r="M503" s="21">
        <v>788.4</v>
      </c>
      <c r="N503" s="21">
        <v>4178520</v>
      </c>
      <c r="O503" s="21">
        <v>0</v>
      </c>
      <c r="P503" s="21">
        <v>0</v>
      </c>
      <c r="Q503" s="21">
        <v>1653.73</v>
      </c>
      <c r="R503" s="21">
        <v>4307966.6500000004</v>
      </c>
      <c r="S503" s="21">
        <v>0</v>
      </c>
      <c r="T503" s="21">
        <v>0</v>
      </c>
      <c r="U503" s="21">
        <v>200000</v>
      </c>
    </row>
    <row r="504" spans="1:22" ht="24.95" customHeight="1">
      <c r="A504" s="17" t="s">
        <v>1406</v>
      </c>
      <c r="B504" s="29" t="s">
        <v>266</v>
      </c>
      <c r="C504" s="1">
        <f t="shared" si="150"/>
        <v>3539700</v>
      </c>
      <c r="D504" s="21">
        <f t="shared" si="156"/>
        <v>0</v>
      </c>
      <c r="E504" s="21">
        <v>0</v>
      </c>
      <c r="F504" s="21">
        <v>0</v>
      </c>
      <c r="G504" s="21">
        <v>0</v>
      </c>
      <c r="H504" s="21">
        <v>0</v>
      </c>
      <c r="I504" s="21">
        <v>0</v>
      </c>
      <c r="J504" s="21">
        <v>0</v>
      </c>
      <c r="K504" s="40">
        <v>0</v>
      </c>
      <c r="L504" s="21">
        <v>0</v>
      </c>
      <c r="M504" s="21">
        <v>649</v>
      </c>
      <c r="N504" s="21">
        <f>M504*5300</f>
        <v>3439700</v>
      </c>
      <c r="O504" s="21">
        <v>0</v>
      </c>
      <c r="P504" s="21">
        <v>0</v>
      </c>
      <c r="Q504" s="21">
        <v>0</v>
      </c>
      <c r="R504" s="21">
        <v>0</v>
      </c>
      <c r="S504" s="21">
        <v>0</v>
      </c>
      <c r="T504" s="21">
        <v>0</v>
      </c>
      <c r="U504" s="21">
        <v>100000</v>
      </c>
    </row>
    <row r="505" spans="1:22" ht="24.95" customHeight="1">
      <c r="A505" s="17" t="s">
        <v>1407</v>
      </c>
      <c r="B505" s="29" t="s">
        <v>269</v>
      </c>
      <c r="C505" s="1">
        <f t="shared" si="150"/>
        <v>9043579.5</v>
      </c>
      <c r="D505" s="21">
        <f t="shared" si="156"/>
        <v>2935210</v>
      </c>
      <c r="E505" s="21">
        <f>350*1586.6</f>
        <v>555310</v>
      </c>
      <c r="F505" s="21">
        <f>800*1586.6</f>
        <v>1269280</v>
      </c>
      <c r="G505" s="21">
        <f>300*1586.6</f>
        <v>475980</v>
      </c>
      <c r="H505" s="21">
        <f t="shared" ref="H505" si="159">500*0</f>
        <v>0</v>
      </c>
      <c r="I505" s="21">
        <f>400*1586.6</f>
        <v>634640</v>
      </c>
      <c r="J505" s="21">
        <f t="shared" ref="J505" si="160">350*0</f>
        <v>0</v>
      </c>
      <c r="K505" s="40">
        <v>0</v>
      </c>
      <c r="L505" s="21">
        <v>0</v>
      </c>
      <c r="M505" s="21">
        <v>866.2</v>
      </c>
      <c r="N505" s="21">
        <v>2858460</v>
      </c>
      <c r="O505" s="21">
        <v>26.3</v>
      </c>
      <c r="P505" s="21">
        <v>76270</v>
      </c>
      <c r="Q505" s="21">
        <v>1179.9000000000001</v>
      </c>
      <c r="R505" s="21">
        <v>3073639.5</v>
      </c>
      <c r="S505" s="21">
        <v>0</v>
      </c>
      <c r="T505" s="21">
        <v>0</v>
      </c>
      <c r="U505" s="21">
        <v>100000</v>
      </c>
    </row>
    <row r="506" spans="1:22" ht="24.95" customHeight="1">
      <c r="A506" s="17" t="s">
        <v>1408</v>
      </c>
      <c r="B506" s="29" t="s">
        <v>1333</v>
      </c>
      <c r="C506" s="1">
        <f t="shared" si="150"/>
        <v>2537984</v>
      </c>
      <c r="D506" s="21">
        <f t="shared" si="156"/>
        <v>0</v>
      </c>
      <c r="E506" s="21">
        <v>0</v>
      </c>
      <c r="F506" s="21">
        <v>0</v>
      </c>
      <c r="G506" s="21">
        <v>0</v>
      </c>
      <c r="H506" s="21">
        <v>0</v>
      </c>
      <c r="I506" s="21">
        <v>0</v>
      </c>
      <c r="J506" s="21">
        <v>0</v>
      </c>
      <c r="K506" s="40">
        <v>0</v>
      </c>
      <c r="L506" s="21">
        <v>0</v>
      </c>
      <c r="M506" s="21">
        <v>708.48</v>
      </c>
      <c r="N506" s="21">
        <v>2337984</v>
      </c>
      <c r="O506" s="21">
        <v>0</v>
      </c>
      <c r="P506" s="21">
        <v>0</v>
      </c>
      <c r="Q506" s="21">
        <v>0</v>
      </c>
      <c r="R506" s="21">
        <v>0</v>
      </c>
      <c r="S506" s="21">
        <v>0</v>
      </c>
      <c r="T506" s="21">
        <v>0</v>
      </c>
      <c r="U506" s="21">
        <v>200000</v>
      </c>
    </row>
    <row r="507" spans="1:22" ht="24.95" customHeight="1">
      <c r="A507" s="17" t="s">
        <v>1409</v>
      </c>
      <c r="B507" s="29" t="s">
        <v>1334</v>
      </c>
      <c r="C507" s="1">
        <f t="shared" si="150"/>
        <v>2635004</v>
      </c>
      <c r="D507" s="21">
        <f t="shared" si="156"/>
        <v>0</v>
      </c>
      <c r="E507" s="21">
        <v>0</v>
      </c>
      <c r="F507" s="21">
        <v>0</v>
      </c>
      <c r="G507" s="21">
        <v>0</v>
      </c>
      <c r="H507" s="21">
        <v>0</v>
      </c>
      <c r="I507" s="21">
        <v>0</v>
      </c>
      <c r="J507" s="21">
        <v>0</v>
      </c>
      <c r="K507" s="40">
        <v>0</v>
      </c>
      <c r="L507" s="21">
        <v>0</v>
      </c>
      <c r="M507" s="21">
        <v>737.88</v>
      </c>
      <c r="N507" s="21">
        <v>2435004</v>
      </c>
      <c r="O507" s="21">
        <v>0</v>
      </c>
      <c r="P507" s="21">
        <v>0</v>
      </c>
      <c r="Q507" s="21">
        <v>0</v>
      </c>
      <c r="R507" s="21">
        <v>0</v>
      </c>
      <c r="S507" s="21">
        <v>0</v>
      </c>
      <c r="T507" s="21">
        <v>0</v>
      </c>
      <c r="U507" s="21">
        <v>200000</v>
      </c>
    </row>
    <row r="508" spans="1:22" ht="45" customHeight="1">
      <c r="A508" s="55" t="s">
        <v>1343</v>
      </c>
      <c r="B508" s="55"/>
      <c r="C508" s="1">
        <f t="shared" si="150"/>
        <v>1445775</v>
      </c>
      <c r="D508" s="1">
        <f t="shared" ref="D508:U508" si="161">SUM(D509)</f>
        <v>0</v>
      </c>
      <c r="E508" s="1">
        <f t="shared" si="161"/>
        <v>0</v>
      </c>
      <c r="F508" s="1">
        <f t="shared" si="161"/>
        <v>0</v>
      </c>
      <c r="G508" s="1">
        <f t="shared" si="161"/>
        <v>0</v>
      </c>
      <c r="H508" s="1">
        <f t="shared" si="161"/>
        <v>0</v>
      </c>
      <c r="I508" s="1">
        <f t="shared" si="161"/>
        <v>0</v>
      </c>
      <c r="J508" s="1">
        <f t="shared" si="161"/>
        <v>0</v>
      </c>
      <c r="K508" s="42">
        <f t="shared" si="161"/>
        <v>0</v>
      </c>
      <c r="L508" s="1">
        <f t="shared" si="161"/>
        <v>0</v>
      </c>
      <c r="M508" s="1">
        <f t="shared" si="161"/>
        <v>0</v>
      </c>
      <c r="N508" s="1">
        <f t="shared" si="161"/>
        <v>0</v>
      </c>
      <c r="O508" s="1">
        <f t="shared" si="161"/>
        <v>0</v>
      </c>
      <c r="P508" s="1">
        <f t="shared" si="161"/>
        <v>0</v>
      </c>
      <c r="Q508" s="1">
        <f t="shared" si="161"/>
        <v>555</v>
      </c>
      <c r="R508" s="1">
        <f t="shared" si="161"/>
        <v>1445775</v>
      </c>
      <c r="S508" s="1">
        <f t="shared" si="161"/>
        <v>0</v>
      </c>
      <c r="T508" s="1">
        <f t="shared" si="161"/>
        <v>0</v>
      </c>
      <c r="U508" s="1">
        <f t="shared" si="161"/>
        <v>0</v>
      </c>
    </row>
    <row r="509" spans="1:22" ht="21.95" customHeight="1">
      <c r="A509" s="19" t="s">
        <v>1410</v>
      </c>
      <c r="B509" s="29" t="s">
        <v>1344</v>
      </c>
      <c r="C509" s="1">
        <f t="shared" si="150"/>
        <v>1445775</v>
      </c>
      <c r="D509" s="21">
        <f t="shared" ref="D509" si="162">SUM(E509:J509)</f>
        <v>0</v>
      </c>
      <c r="E509" s="21">
        <v>0</v>
      </c>
      <c r="F509" s="21">
        <v>0</v>
      </c>
      <c r="G509" s="21">
        <v>0</v>
      </c>
      <c r="H509" s="21">
        <v>0</v>
      </c>
      <c r="I509" s="21">
        <v>0</v>
      </c>
      <c r="J509" s="21">
        <v>0</v>
      </c>
      <c r="K509" s="40">
        <v>0</v>
      </c>
      <c r="L509" s="21">
        <v>0</v>
      </c>
      <c r="M509" s="21">
        <v>0</v>
      </c>
      <c r="N509" s="21">
        <v>0</v>
      </c>
      <c r="O509" s="21">
        <v>0</v>
      </c>
      <c r="P509" s="21">
        <v>0</v>
      </c>
      <c r="Q509" s="21">
        <v>555</v>
      </c>
      <c r="R509" s="21">
        <v>1445775</v>
      </c>
      <c r="S509" s="21">
        <v>0</v>
      </c>
      <c r="T509" s="21">
        <v>0</v>
      </c>
      <c r="U509" s="21">
        <v>0</v>
      </c>
    </row>
    <row r="510" spans="1:22" ht="45" customHeight="1">
      <c r="A510" s="55" t="s">
        <v>281</v>
      </c>
      <c r="B510" s="55"/>
      <c r="C510" s="1">
        <f t="shared" si="150"/>
        <v>6176576</v>
      </c>
      <c r="D510" s="1">
        <f t="shared" ref="D510:U510" si="163">SUM(D511:D512)</f>
        <v>0</v>
      </c>
      <c r="E510" s="1">
        <f t="shared" si="163"/>
        <v>0</v>
      </c>
      <c r="F510" s="1">
        <f t="shared" si="163"/>
        <v>0</v>
      </c>
      <c r="G510" s="1">
        <f t="shared" si="163"/>
        <v>0</v>
      </c>
      <c r="H510" s="1">
        <f t="shared" si="163"/>
        <v>0</v>
      </c>
      <c r="I510" s="1">
        <f t="shared" si="163"/>
        <v>0</v>
      </c>
      <c r="J510" s="1">
        <f t="shared" si="163"/>
        <v>0</v>
      </c>
      <c r="K510" s="42">
        <f t="shared" si="163"/>
        <v>0</v>
      </c>
      <c r="L510" s="1">
        <f t="shared" si="163"/>
        <v>0</v>
      </c>
      <c r="M510" s="1">
        <f t="shared" si="163"/>
        <v>1089.92</v>
      </c>
      <c r="N510" s="1">
        <f t="shared" si="163"/>
        <v>5776576</v>
      </c>
      <c r="O510" s="1">
        <f t="shared" si="163"/>
        <v>0</v>
      </c>
      <c r="P510" s="1">
        <f t="shared" si="163"/>
        <v>0</v>
      </c>
      <c r="Q510" s="1">
        <f t="shared" si="163"/>
        <v>0</v>
      </c>
      <c r="R510" s="1">
        <f t="shared" si="163"/>
        <v>0</v>
      </c>
      <c r="S510" s="1">
        <f t="shared" si="163"/>
        <v>0</v>
      </c>
      <c r="T510" s="1">
        <f t="shared" si="163"/>
        <v>0</v>
      </c>
      <c r="U510" s="1">
        <f t="shared" si="163"/>
        <v>400000</v>
      </c>
      <c r="V510" s="13">
        <f>C510</f>
        <v>6176576</v>
      </c>
    </row>
    <row r="511" spans="1:22" ht="21.95" customHeight="1">
      <c r="A511" s="19" t="s">
        <v>1411</v>
      </c>
      <c r="B511" s="29" t="s">
        <v>282</v>
      </c>
      <c r="C511" s="1">
        <f t="shared" si="150"/>
        <v>3088288</v>
      </c>
      <c r="D511" s="21">
        <f t="shared" ref="D511:D512" si="164">SUM(E511:J511)</f>
        <v>0</v>
      </c>
      <c r="E511" s="21">
        <v>0</v>
      </c>
      <c r="F511" s="21">
        <v>0</v>
      </c>
      <c r="G511" s="21">
        <v>0</v>
      </c>
      <c r="H511" s="21">
        <v>0</v>
      </c>
      <c r="I511" s="21">
        <v>0</v>
      </c>
      <c r="J511" s="21">
        <v>0</v>
      </c>
      <c r="K511" s="40">
        <v>0</v>
      </c>
      <c r="L511" s="21">
        <v>0</v>
      </c>
      <c r="M511" s="21">
        <v>544.96</v>
      </c>
      <c r="N511" s="21">
        <v>2888288</v>
      </c>
      <c r="O511" s="21">
        <v>0</v>
      </c>
      <c r="P511" s="21">
        <v>0</v>
      </c>
      <c r="Q511" s="21">
        <v>0</v>
      </c>
      <c r="R511" s="21">
        <v>0</v>
      </c>
      <c r="S511" s="21">
        <v>0</v>
      </c>
      <c r="T511" s="21">
        <v>0</v>
      </c>
      <c r="U511" s="21">
        <v>200000</v>
      </c>
    </row>
    <row r="512" spans="1:22" ht="21.95" customHeight="1">
      <c r="A512" s="19" t="s">
        <v>1412</v>
      </c>
      <c r="B512" s="29" t="s">
        <v>283</v>
      </c>
      <c r="C512" s="1">
        <f t="shared" si="150"/>
        <v>3088288</v>
      </c>
      <c r="D512" s="21">
        <f t="shared" si="164"/>
        <v>0</v>
      </c>
      <c r="E512" s="21">
        <v>0</v>
      </c>
      <c r="F512" s="21">
        <v>0</v>
      </c>
      <c r="G512" s="21">
        <v>0</v>
      </c>
      <c r="H512" s="21">
        <v>0</v>
      </c>
      <c r="I512" s="21">
        <v>0</v>
      </c>
      <c r="J512" s="21">
        <v>0</v>
      </c>
      <c r="K512" s="40">
        <v>0</v>
      </c>
      <c r="L512" s="21">
        <v>0</v>
      </c>
      <c r="M512" s="21">
        <v>544.96</v>
      </c>
      <c r="N512" s="21">
        <v>2888288</v>
      </c>
      <c r="O512" s="21">
        <v>0</v>
      </c>
      <c r="P512" s="21">
        <v>0</v>
      </c>
      <c r="Q512" s="21">
        <v>0</v>
      </c>
      <c r="R512" s="21">
        <v>0</v>
      </c>
      <c r="S512" s="21">
        <v>0</v>
      </c>
      <c r="T512" s="21">
        <v>0</v>
      </c>
      <c r="U512" s="21">
        <v>200000</v>
      </c>
    </row>
    <row r="513" spans="1:22" ht="45" customHeight="1">
      <c r="A513" s="55" t="s">
        <v>285</v>
      </c>
      <c r="B513" s="55"/>
      <c r="C513" s="1">
        <f t="shared" si="150"/>
        <v>2760995</v>
      </c>
      <c r="D513" s="1">
        <f t="shared" ref="D513:U513" si="165">SUM(D514)</f>
        <v>133035</v>
      </c>
      <c r="E513" s="1">
        <f t="shared" si="165"/>
        <v>133035</v>
      </c>
      <c r="F513" s="1">
        <f t="shared" si="165"/>
        <v>0</v>
      </c>
      <c r="G513" s="1">
        <f t="shared" si="165"/>
        <v>0</v>
      </c>
      <c r="H513" s="1">
        <f t="shared" si="165"/>
        <v>0</v>
      </c>
      <c r="I513" s="1">
        <f t="shared" si="165"/>
        <v>0</v>
      </c>
      <c r="J513" s="1">
        <f t="shared" si="165"/>
        <v>0</v>
      </c>
      <c r="K513" s="42">
        <f t="shared" si="165"/>
        <v>0</v>
      </c>
      <c r="L513" s="1">
        <f t="shared" si="165"/>
        <v>0</v>
      </c>
      <c r="M513" s="1">
        <f t="shared" si="165"/>
        <v>300</v>
      </c>
      <c r="N513" s="1">
        <f t="shared" si="165"/>
        <v>990000</v>
      </c>
      <c r="O513" s="1">
        <f t="shared" si="165"/>
        <v>0</v>
      </c>
      <c r="P513" s="1">
        <f t="shared" si="165"/>
        <v>0</v>
      </c>
      <c r="Q513" s="1">
        <f t="shared" si="165"/>
        <v>552</v>
      </c>
      <c r="R513" s="1">
        <f t="shared" si="165"/>
        <v>1437960</v>
      </c>
      <c r="S513" s="1">
        <f t="shared" si="165"/>
        <v>0</v>
      </c>
      <c r="T513" s="1">
        <f t="shared" si="165"/>
        <v>0</v>
      </c>
      <c r="U513" s="1">
        <f t="shared" si="165"/>
        <v>200000</v>
      </c>
      <c r="V513" s="13">
        <f>C513</f>
        <v>2760995</v>
      </c>
    </row>
    <row r="514" spans="1:22" ht="21.95" customHeight="1">
      <c r="A514" s="17" t="s">
        <v>1413</v>
      </c>
      <c r="B514" s="29" t="s">
        <v>284</v>
      </c>
      <c r="C514" s="1">
        <f t="shared" si="150"/>
        <v>2760995</v>
      </c>
      <c r="D514" s="21">
        <f t="shared" ref="D514" si="166">SUM(E514:J514)</f>
        <v>133035</v>
      </c>
      <c r="E514" s="21">
        <f>350*380.1</f>
        <v>133035</v>
      </c>
      <c r="F514" s="21">
        <f>800*0</f>
        <v>0</v>
      </c>
      <c r="G514" s="21">
        <f>300*0</f>
        <v>0</v>
      </c>
      <c r="H514" s="21">
        <f>500*0</f>
        <v>0</v>
      </c>
      <c r="I514" s="21">
        <f>400*0</f>
        <v>0</v>
      </c>
      <c r="J514" s="21">
        <f>350*0</f>
        <v>0</v>
      </c>
      <c r="K514" s="5">
        <v>0</v>
      </c>
      <c r="L514" s="3">
        <v>0</v>
      </c>
      <c r="M514" s="3">
        <v>300</v>
      </c>
      <c r="N514" s="3">
        <v>990000</v>
      </c>
      <c r="O514" s="3">
        <v>0</v>
      </c>
      <c r="P514" s="3">
        <v>0</v>
      </c>
      <c r="Q514" s="3">
        <v>552</v>
      </c>
      <c r="R514" s="3">
        <v>1437960</v>
      </c>
      <c r="S514" s="3">
        <v>0</v>
      </c>
      <c r="T514" s="3">
        <v>0</v>
      </c>
      <c r="U514" s="3">
        <v>200000</v>
      </c>
      <c r="V514" s="13"/>
    </row>
    <row r="515" spans="1:22" ht="45" customHeight="1">
      <c r="A515" s="55" t="s">
        <v>390</v>
      </c>
      <c r="B515" s="55"/>
      <c r="C515" s="1">
        <f t="shared" si="150"/>
        <v>626364457.75</v>
      </c>
      <c r="D515" s="1">
        <f t="shared" ref="D515:U515" si="167">SUM(D516:D721)</f>
        <v>106056851</v>
      </c>
      <c r="E515" s="1">
        <f t="shared" si="167"/>
        <v>15757451.5</v>
      </c>
      <c r="F515" s="1">
        <f t="shared" si="167"/>
        <v>35721856</v>
      </c>
      <c r="G515" s="1">
        <f t="shared" si="167"/>
        <v>14880712.5</v>
      </c>
      <c r="H515" s="1">
        <f t="shared" si="167"/>
        <v>21688315</v>
      </c>
      <c r="I515" s="1">
        <f t="shared" si="167"/>
        <v>18008516</v>
      </c>
      <c r="J515" s="1">
        <f t="shared" si="167"/>
        <v>0</v>
      </c>
      <c r="K515" s="42">
        <f t="shared" si="167"/>
        <v>6</v>
      </c>
      <c r="L515" s="1">
        <f t="shared" si="167"/>
        <v>12900000</v>
      </c>
      <c r="M515" s="1">
        <f t="shared" si="167"/>
        <v>78124.890000000014</v>
      </c>
      <c r="N515" s="1">
        <f t="shared" si="167"/>
        <v>409867517</v>
      </c>
      <c r="O515" s="1">
        <f t="shared" si="167"/>
        <v>0</v>
      </c>
      <c r="P515" s="1">
        <f t="shared" si="167"/>
        <v>0</v>
      </c>
      <c r="Q515" s="1">
        <f t="shared" si="167"/>
        <v>22223.95</v>
      </c>
      <c r="R515" s="1">
        <f t="shared" si="167"/>
        <v>58140089.75</v>
      </c>
      <c r="S515" s="1">
        <f t="shared" si="167"/>
        <v>0</v>
      </c>
      <c r="T515" s="1">
        <f t="shared" si="167"/>
        <v>0</v>
      </c>
      <c r="U515" s="1">
        <f t="shared" si="167"/>
        <v>39400000</v>
      </c>
    </row>
    <row r="516" spans="1:22" ht="21.95" customHeight="1">
      <c r="A516" s="19" t="s">
        <v>1414</v>
      </c>
      <c r="B516" s="24" t="s">
        <v>508</v>
      </c>
      <c r="C516" s="1">
        <f t="shared" si="150"/>
        <v>3434007.75</v>
      </c>
      <c r="D516" s="21">
        <f t="shared" ref="D516:D579" si="168">SUM(E516:J516)</f>
        <v>2172340</v>
      </c>
      <c r="E516" s="21">
        <f>350*924.4</f>
        <v>323540</v>
      </c>
      <c r="F516" s="21">
        <f>800*924.4</f>
        <v>739520</v>
      </c>
      <c r="G516" s="21">
        <f>300*924.4</f>
        <v>277320</v>
      </c>
      <c r="H516" s="21">
        <f>500*924.4</f>
        <v>462200</v>
      </c>
      <c r="I516" s="21">
        <f>400*924.4</f>
        <v>369760</v>
      </c>
      <c r="J516" s="21">
        <f>350*0</f>
        <v>0</v>
      </c>
      <c r="K516" s="5">
        <v>0</v>
      </c>
      <c r="L516" s="3">
        <v>0</v>
      </c>
      <c r="M516" s="3">
        <v>0</v>
      </c>
      <c r="N516" s="3">
        <v>0</v>
      </c>
      <c r="O516" s="3">
        <v>0</v>
      </c>
      <c r="P516" s="3">
        <v>0</v>
      </c>
      <c r="Q516" s="3">
        <v>407.55</v>
      </c>
      <c r="R516" s="3">
        <f>Q516*2605</f>
        <v>1061667.75</v>
      </c>
      <c r="S516" s="3">
        <v>0</v>
      </c>
      <c r="T516" s="3">
        <v>0</v>
      </c>
      <c r="U516" s="3">
        <v>200000</v>
      </c>
    </row>
    <row r="517" spans="1:22" ht="21.95" customHeight="1">
      <c r="A517" s="19" t="s">
        <v>1415</v>
      </c>
      <c r="B517" s="24" t="s">
        <v>594</v>
      </c>
      <c r="C517" s="1">
        <f t="shared" si="150"/>
        <v>1616160</v>
      </c>
      <c r="D517" s="21">
        <f t="shared" si="168"/>
        <v>0</v>
      </c>
      <c r="E517" s="21">
        <v>0</v>
      </c>
      <c r="F517" s="21">
        <v>0</v>
      </c>
      <c r="G517" s="21">
        <v>0</v>
      </c>
      <c r="H517" s="21">
        <v>0</v>
      </c>
      <c r="I517" s="21">
        <v>0</v>
      </c>
      <c r="J517" s="21">
        <v>0</v>
      </c>
      <c r="K517" s="5">
        <v>0</v>
      </c>
      <c r="L517" s="3">
        <v>0</v>
      </c>
      <c r="M517" s="3">
        <v>267.2</v>
      </c>
      <c r="N517" s="3">
        <v>1416160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200000</v>
      </c>
      <c r="V517" s="13"/>
    </row>
    <row r="518" spans="1:22" ht="21.95" customHeight="1">
      <c r="A518" s="19" t="s">
        <v>1416</v>
      </c>
      <c r="B518" s="24" t="s">
        <v>595</v>
      </c>
      <c r="C518" s="1">
        <f t="shared" si="150"/>
        <v>1585950</v>
      </c>
      <c r="D518" s="21">
        <f t="shared" si="168"/>
        <v>0</v>
      </c>
      <c r="E518" s="21">
        <v>0</v>
      </c>
      <c r="F518" s="21">
        <v>0</v>
      </c>
      <c r="G518" s="21">
        <v>0</v>
      </c>
      <c r="H518" s="21">
        <v>0</v>
      </c>
      <c r="I518" s="21">
        <v>0</v>
      </c>
      <c r="J518" s="21">
        <v>0</v>
      </c>
      <c r="K518" s="5">
        <v>0</v>
      </c>
      <c r="L518" s="3">
        <v>0</v>
      </c>
      <c r="M518" s="3">
        <v>261.5</v>
      </c>
      <c r="N518" s="3">
        <v>1385950</v>
      </c>
      <c r="O518" s="3">
        <v>0</v>
      </c>
      <c r="P518" s="3">
        <v>0</v>
      </c>
      <c r="Q518" s="3">
        <v>0</v>
      </c>
      <c r="R518" s="3">
        <v>0</v>
      </c>
      <c r="S518" s="3">
        <v>0</v>
      </c>
      <c r="T518" s="3">
        <v>0</v>
      </c>
      <c r="U518" s="3">
        <v>200000</v>
      </c>
      <c r="V518" s="13"/>
    </row>
    <row r="519" spans="1:22" ht="21.95" customHeight="1">
      <c r="A519" s="19" t="s">
        <v>1417</v>
      </c>
      <c r="B519" s="30" t="s">
        <v>596</v>
      </c>
      <c r="C519" s="1">
        <f t="shared" si="150"/>
        <v>1585950</v>
      </c>
      <c r="D519" s="21">
        <f t="shared" si="168"/>
        <v>0</v>
      </c>
      <c r="E519" s="21">
        <v>0</v>
      </c>
      <c r="F519" s="21">
        <v>0</v>
      </c>
      <c r="G519" s="21">
        <v>0</v>
      </c>
      <c r="H519" s="21">
        <v>0</v>
      </c>
      <c r="I519" s="21">
        <v>0</v>
      </c>
      <c r="J519" s="21">
        <v>0</v>
      </c>
      <c r="K519" s="5">
        <v>0</v>
      </c>
      <c r="L519" s="3">
        <v>0</v>
      </c>
      <c r="M519" s="3">
        <v>261.5</v>
      </c>
      <c r="N519" s="3">
        <v>1385950</v>
      </c>
      <c r="O519" s="3">
        <v>0</v>
      </c>
      <c r="P519" s="3">
        <v>0</v>
      </c>
      <c r="Q519" s="3">
        <v>0</v>
      </c>
      <c r="R519" s="3">
        <v>0</v>
      </c>
      <c r="S519" s="3">
        <v>0</v>
      </c>
      <c r="T519" s="3">
        <v>0</v>
      </c>
      <c r="U519" s="3">
        <v>200000</v>
      </c>
      <c r="V519" s="13"/>
    </row>
    <row r="520" spans="1:22" ht="21.95" customHeight="1">
      <c r="A520" s="19" t="s">
        <v>1418</v>
      </c>
      <c r="B520" s="24" t="s">
        <v>442</v>
      </c>
      <c r="C520" s="1">
        <f t="shared" si="150"/>
        <v>2198640</v>
      </c>
      <c r="D520" s="21">
        <f t="shared" si="168"/>
        <v>0</v>
      </c>
      <c r="E520" s="21">
        <v>0</v>
      </c>
      <c r="F520" s="21">
        <v>0</v>
      </c>
      <c r="G520" s="21">
        <v>0</v>
      </c>
      <c r="H520" s="21">
        <v>0</v>
      </c>
      <c r="I520" s="21">
        <v>0</v>
      </c>
      <c r="J520" s="21">
        <v>0</v>
      </c>
      <c r="K520" s="40">
        <v>0</v>
      </c>
      <c r="L520" s="21">
        <v>0</v>
      </c>
      <c r="M520" s="21">
        <v>278.8</v>
      </c>
      <c r="N520" s="21">
        <v>1477640</v>
      </c>
      <c r="O520" s="21">
        <v>0</v>
      </c>
      <c r="P520" s="21">
        <v>0</v>
      </c>
      <c r="Q520" s="21">
        <v>200</v>
      </c>
      <c r="R520" s="21">
        <v>521000</v>
      </c>
      <c r="S520" s="21">
        <v>0</v>
      </c>
      <c r="T520" s="3">
        <v>0</v>
      </c>
      <c r="U520" s="21">
        <v>200000</v>
      </c>
    </row>
    <row r="521" spans="1:22" ht="21.95" customHeight="1">
      <c r="A521" s="19" t="s">
        <v>1419</v>
      </c>
      <c r="B521" s="30" t="s">
        <v>443</v>
      </c>
      <c r="C521" s="1">
        <f t="shared" si="150"/>
        <v>3602600</v>
      </c>
      <c r="D521" s="21">
        <f t="shared" si="168"/>
        <v>0</v>
      </c>
      <c r="E521" s="21">
        <v>0</v>
      </c>
      <c r="F521" s="21">
        <v>0</v>
      </c>
      <c r="G521" s="21">
        <v>0</v>
      </c>
      <c r="H521" s="21">
        <v>0</v>
      </c>
      <c r="I521" s="21">
        <v>0</v>
      </c>
      <c r="J521" s="21">
        <v>0</v>
      </c>
      <c r="K521" s="40">
        <v>0</v>
      </c>
      <c r="L521" s="21">
        <v>0</v>
      </c>
      <c r="M521" s="21">
        <v>404.3</v>
      </c>
      <c r="N521" s="21">
        <f>M521*5300</f>
        <v>2142790</v>
      </c>
      <c r="O521" s="21">
        <v>0</v>
      </c>
      <c r="P521" s="21">
        <v>0</v>
      </c>
      <c r="Q521" s="21">
        <v>522</v>
      </c>
      <c r="R521" s="21">
        <f>Q521*2605</f>
        <v>1359810</v>
      </c>
      <c r="S521" s="21">
        <v>0</v>
      </c>
      <c r="T521" s="3">
        <v>0</v>
      </c>
      <c r="U521" s="21">
        <v>100000</v>
      </c>
    </row>
    <row r="522" spans="1:22" ht="21.75" customHeight="1">
      <c r="A522" s="19" t="s">
        <v>1420</v>
      </c>
      <c r="B522" s="24" t="s">
        <v>512</v>
      </c>
      <c r="C522" s="1">
        <f t="shared" si="150"/>
        <v>3421440</v>
      </c>
      <c r="D522" s="21">
        <f t="shared" si="168"/>
        <v>0</v>
      </c>
      <c r="E522" s="21">
        <v>0</v>
      </c>
      <c r="F522" s="21">
        <v>0</v>
      </c>
      <c r="G522" s="21">
        <v>0</v>
      </c>
      <c r="H522" s="21">
        <v>0</v>
      </c>
      <c r="I522" s="21">
        <v>0</v>
      </c>
      <c r="J522" s="21">
        <v>0</v>
      </c>
      <c r="K522" s="40">
        <v>0</v>
      </c>
      <c r="L522" s="21">
        <v>0</v>
      </c>
      <c r="M522" s="21">
        <v>250</v>
      </c>
      <c r="N522" s="21">
        <v>1325000</v>
      </c>
      <c r="O522" s="21">
        <v>0</v>
      </c>
      <c r="P522" s="21">
        <v>0</v>
      </c>
      <c r="Q522" s="21">
        <v>728</v>
      </c>
      <c r="R522" s="21">
        <v>1896440</v>
      </c>
      <c r="S522" s="21">
        <v>0</v>
      </c>
      <c r="T522" s="3">
        <v>0</v>
      </c>
      <c r="U522" s="21">
        <v>200000</v>
      </c>
    </row>
    <row r="523" spans="1:22" ht="21.95" customHeight="1">
      <c r="A523" s="19" t="s">
        <v>1421</v>
      </c>
      <c r="B523" s="30" t="s">
        <v>464</v>
      </c>
      <c r="C523" s="1">
        <f t="shared" si="150"/>
        <v>3350231</v>
      </c>
      <c r="D523" s="21">
        <f t="shared" si="168"/>
        <v>697856</v>
      </c>
      <c r="E523" s="21">
        <f>350*296.96</f>
        <v>103936</v>
      </c>
      <c r="F523" s="21">
        <f>800*296.96</f>
        <v>237567.99999999997</v>
      </c>
      <c r="G523" s="21">
        <f>300*296.96</f>
        <v>89088</v>
      </c>
      <c r="H523" s="21">
        <f>500*296.96</f>
        <v>148480</v>
      </c>
      <c r="I523" s="21">
        <f>400*296.96</f>
        <v>118783.99999999999</v>
      </c>
      <c r="J523" s="21">
        <f>350*0</f>
        <v>0</v>
      </c>
      <c r="K523" s="40">
        <v>0</v>
      </c>
      <c r="L523" s="21">
        <v>0</v>
      </c>
      <c r="M523" s="21">
        <v>214.5</v>
      </c>
      <c r="N523" s="21">
        <v>1136850</v>
      </c>
      <c r="O523" s="21">
        <v>0</v>
      </c>
      <c r="P523" s="21">
        <v>0</v>
      </c>
      <c r="Q523" s="21">
        <v>505</v>
      </c>
      <c r="R523" s="21">
        <v>1315525</v>
      </c>
      <c r="S523" s="21">
        <v>0</v>
      </c>
      <c r="T523" s="3">
        <v>0</v>
      </c>
      <c r="U523" s="21">
        <v>200000</v>
      </c>
    </row>
    <row r="524" spans="1:22" ht="21.95" customHeight="1">
      <c r="A524" s="19" t="s">
        <v>1422</v>
      </c>
      <c r="B524" s="24" t="s">
        <v>513</v>
      </c>
      <c r="C524" s="1">
        <f t="shared" si="150"/>
        <v>2155700</v>
      </c>
      <c r="D524" s="21">
        <f t="shared" si="168"/>
        <v>0</v>
      </c>
      <c r="E524" s="21">
        <v>0</v>
      </c>
      <c r="F524" s="21">
        <v>0</v>
      </c>
      <c r="G524" s="21">
        <v>0</v>
      </c>
      <c r="H524" s="21">
        <v>0</v>
      </c>
      <c r="I524" s="21">
        <v>0</v>
      </c>
      <c r="J524" s="21">
        <v>0</v>
      </c>
      <c r="K524" s="40">
        <v>0</v>
      </c>
      <c r="L524" s="21">
        <v>0</v>
      </c>
      <c r="M524" s="21">
        <v>369</v>
      </c>
      <c r="N524" s="21">
        <v>1955700</v>
      </c>
      <c r="O524" s="21">
        <v>0</v>
      </c>
      <c r="P524" s="21">
        <v>0</v>
      </c>
      <c r="Q524" s="21">
        <v>0</v>
      </c>
      <c r="R524" s="21">
        <v>0</v>
      </c>
      <c r="S524" s="21">
        <v>0</v>
      </c>
      <c r="T524" s="3">
        <v>0</v>
      </c>
      <c r="U524" s="21">
        <v>200000</v>
      </c>
    </row>
    <row r="525" spans="1:22" ht="21.95" customHeight="1">
      <c r="A525" s="19" t="s">
        <v>1423</v>
      </c>
      <c r="B525" s="24" t="s">
        <v>597</v>
      </c>
      <c r="C525" s="1">
        <f t="shared" si="150"/>
        <v>3123162</v>
      </c>
      <c r="D525" s="21">
        <f t="shared" si="168"/>
        <v>0</v>
      </c>
      <c r="E525" s="21">
        <v>0</v>
      </c>
      <c r="F525" s="21">
        <v>0</v>
      </c>
      <c r="G525" s="21">
        <v>0</v>
      </c>
      <c r="H525" s="21">
        <v>0</v>
      </c>
      <c r="I525" s="21">
        <v>0</v>
      </c>
      <c r="J525" s="21">
        <v>0</v>
      </c>
      <c r="K525" s="5">
        <v>0</v>
      </c>
      <c r="L525" s="3">
        <v>0</v>
      </c>
      <c r="M525" s="3">
        <v>551.54</v>
      </c>
      <c r="N525" s="3">
        <f>M525*5300</f>
        <v>2923162</v>
      </c>
      <c r="O525" s="3">
        <v>0</v>
      </c>
      <c r="P525" s="3">
        <v>0</v>
      </c>
      <c r="Q525" s="3">
        <v>0</v>
      </c>
      <c r="R525" s="3">
        <v>0</v>
      </c>
      <c r="S525" s="3">
        <v>0</v>
      </c>
      <c r="T525" s="3">
        <v>0</v>
      </c>
      <c r="U525" s="3">
        <v>200000</v>
      </c>
      <c r="V525" s="13"/>
    </row>
    <row r="526" spans="1:22" ht="21.95" customHeight="1">
      <c r="A526" s="19" t="s">
        <v>1424</v>
      </c>
      <c r="B526" s="30" t="s">
        <v>598</v>
      </c>
      <c r="C526" s="1">
        <f t="shared" si="150"/>
        <v>3751594.5</v>
      </c>
      <c r="D526" s="21">
        <f t="shared" si="168"/>
        <v>1884394.5</v>
      </c>
      <c r="E526" s="21">
        <f>350*[1]Прилож!$H$463</f>
        <v>280654.5</v>
      </c>
      <c r="F526" s="21">
        <f>800*[1]Прилож!$H$463</f>
        <v>641496</v>
      </c>
      <c r="G526" s="21">
        <f>300*[1]Прилож!$H$463</f>
        <v>240561</v>
      </c>
      <c r="H526" s="21">
        <f>500*[1]Прилож!$H$463</f>
        <v>400935</v>
      </c>
      <c r="I526" s="21">
        <f>400*[1]Прилож!$H$463</f>
        <v>320748</v>
      </c>
      <c r="J526" s="21">
        <f>350*0</f>
        <v>0</v>
      </c>
      <c r="K526" s="5">
        <v>0</v>
      </c>
      <c r="L526" s="3">
        <v>0</v>
      </c>
      <c r="M526" s="3">
        <v>0</v>
      </c>
      <c r="N526" s="3">
        <v>0</v>
      </c>
      <c r="O526" s="3">
        <v>0</v>
      </c>
      <c r="P526" s="3">
        <v>0</v>
      </c>
      <c r="Q526" s="3">
        <v>640</v>
      </c>
      <c r="R526" s="3">
        <v>1667200</v>
      </c>
      <c r="S526" s="3">
        <v>0</v>
      </c>
      <c r="T526" s="3">
        <v>0</v>
      </c>
      <c r="U526" s="3">
        <v>200000</v>
      </c>
      <c r="V526" s="13"/>
    </row>
    <row r="527" spans="1:22" ht="21.95" customHeight="1">
      <c r="A527" s="19" t="s">
        <v>1425</v>
      </c>
      <c r="B527" s="24" t="s">
        <v>494</v>
      </c>
      <c r="C527" s="1">
        <f t="shared" si="150"/>
        <v>3372750</v>
      </c>
      <c r="D527" s="21">
        <f t="shared" si="168"/>
        <v>0</v>
      </c>
      <c r="E527" s="21">
        <v>0</v>
      </c>
      <c r="F527" s="21">
        <v>0</v>
      </c>
      <c r="G527" s="21">
        <v>0</v>
      </c>
      <c r="H527" s="21">
        <v>0</v>
      </c>
      <c r="I527" s="21">
        <v>0</v>
      </c>
      <c r="J527" s="21">
        <v>0</v>
      </c>
      <c r="K527" s="40">
        <v>0</v>
      </c>
      <c r="L527" s="21">
        <v>0</v>
      </c>
      <c r="M527" s="21">
        <v>617.5</v>
      </c>
      <c r="N527" s="21">
        <v>3272750</v>
      </c>
      <c r="O527" s="21">
        <v>0</v>
      </c>
      <c r="P527" s="21">
        <v>0</v>
      </c>
      <c r="Q527" s="21">
        <v>0</v>
      </c>
      <c r="R527" s="21">
        <v>0</v>
      </c>
      <c r="S527" s="21">
        <v>0</v>
      </c>
      <c r="T527" s="3">
        <v>0</v>
      </c>
      <c r="U527" s="21">
        <v>100000</v>
      </c>
    </row>
    <row r="528" spans="1:22" ht="21.95" customHeight="1">
      <c r="A528" s="19" t="s">
        <v>1426</v>
      </c>
      <c r="B528" s="24" t="s">
        <v>514</v>
      </c>
      <c r="C528" s="1">
        <f t="shared" si="150"/>
        <v>3103130</v>
      </c>
      <c r="D528" s="21">
        <f t="shared" si="168"/>
        <v>0</v>
      </c>
      <c r="E528" s="21">
        <v>0</v>
      </c>
      <c r="F528" s="21">
        <v>0</v>
      </c>
      <c r="G528" s="21">
        <v>0</v>
      </c>
      <c r="H528" s="21">
        <v>0</v>
      </c>
      <c r="I528" s="21">
        <v>0</v>
      </c>
      <c r="J528" s="21">
        <v>0</v>
      </c>
      <c r="K528" s="40">
        <v>0</v>
      </c>
      <c r="L528" s="21">
        <v>0</v>
      </c>
      <c r="M528" s="21">
        <v>394.6</v>
      </c>
      <c r="N528" s="21">
        <v>2091380</v>
      </c>
      <c r="O528" s="21">
        <v>0</v>
      </c>
      <c r="P528" s="21">
        <v>0</v>
      </c>
      <c r="Q528" s="21">
        <v>350</v>
      </c>
      <c r="R528" s="21">
        <v>911750</v>
      </c>
      <c r="S528" s="21">
        <v>0</v>
      </c>
      <c r="T528" s="3">
        <v>0</v>
      </c>
      <c r="U528" s="21">
        <v>100000</v>
      </c>
    </row>
    <row r="529" spans="1:22" ht="21.95" customHeight="1">
      <c r="A529" s="19" t="s">
        <v>1427</v>
      </c>
      <c r="B529" s="24" t="s">
        <v>599</v>
      </c>
      <c r="C529" s="1">
        <f t="shared" si="150"/>
        <v>1577470</v>
      </c>
      <c r="D529" s="21">
        <f t="shared" si="168"/>
        <v>0</v>
      </c>
      <c r="E529" s="21">
        <v>0</v>
      </c>
      <c r="F529" s="21">
        <v>0</v>
      </c>
      <c r="G529" s="21">
        <v>0</v>
      </c>
      <c r="H529" s="21">
        <v>0</v>
      </c>
      <c r="I529" s="21">
        <v>0</v>
      </c>
      <c r="J529" s="21">
        <v>0</v>
      </c>
      <c r="K529" s="5">
        <v>0</v>
      </c>
      <c r="L529" s="3">
        <v>0</v>
      </c>
      <c r="M529" s="3">
        <v>259.89999999999998</v>
      </c>
      <c r="N529" s="3">
        <v>1377470</v>
      </c>
      <c r="O529" s="3">
        <v>0</v>
      </c>
      <c r="P529" s="3">
        <v>0</v>
      </c>
      <c r="Q529" s="3">
        <v>0</v>
      </c>
      <c r="R529" s="3">
        <v>0</v>
      </c>
      <c r="S529" s="3">
        <v>0</v>
      </c>
      <c r="T529" s="3">
        <v>0</v>
      </c>
      <c r="U529" s="3">
        <v>200000</v>
      </c>
      <c r="V529" s="13"/>
    </row>
    <row r="530" spans="1:22" ht="21.95" customHeight="1">
      <c r="A530" s="19" t="s">
        <v>1428</v>
      </c>
      <c r="B530" s="24" t="s">
        <v>600</v>
      </c>
      <c r="C530" s="1">
        <f t="shared" si="150"/>
        <v>1556800</v>
      </c>
      <c r="D530" s="21">
        <f t="shared" si="168"/>
        <v>0</v>
      </c>
      <c r="E530" s="21">
        <v>0</v>
      </c>
      <c r="F530" s="21">
        <v>0</v>
      </c>
      <c r="G530" s="21">
        <v>0</v>
      </c>
      <c r="H530" s="21">
        <v>0</v>
      </c>
      <c r="I530" s="21">
        <v>0</v>
      </c>
      <c r="J530" s="21">
        <v>0</v>
      </c>
      <c r="K530" s="5">
        <v>0</v>
      </c>
      <c r="L530" s="3">
        <v>0</v>
      </c>
      <c r="M530" s="3">
        <v>256</v>
      </c>
      <c r="N530" s="3">
        <v>1356800</v>
      </c>
      <c r="O530" s="3">
        <v>0</v>
      </c>
      <c r="P530" s="3">
        <v>0</v>
      </c>
      <c r="Q530" s="3">
        <v>0</v>
      </c>
      <c r="R530" s="3">
        <v>0</v>
      </c>
      <c r="S530" s="3">
        <v>0</v>
      </c>
      <c r="T530" s="3">
        <v>0</v>
      </c>
      <c r="U530" s="3">
        <v>200000</v>
      </c>
      <c r="V530" s="13"/>
    </row>
    <row r="531" spans="1:22" ht="21.95" customHeight="1">
      <c r="A531" s="19" t="s">
        <v>1429</v>
      </c>
      <c r="B531" s="24" t="s">
        <v>434</v>
      </c>
      <c r="C531" s="1">
        <f t="shared" si="150"/>
        <v>3533170</v>
      </c>
      <c r="D531" s="21">
        <f t="shared" si="168"/>
        <v>0</v>
      </c>
      <c r="E531" s="21">
        <v>0</v>
      </c>
      <c r="F531" s="21">
        <v>0</v>
      </c>
      <c r="G531" s="21">
        <v>0</v>
      </c>
      <c r="H531" s="21">
        <v>0</v>
      </c>
      <c r="I531" s="21">
        <v>0</v>
      </c>
      <c r="J531" s="21">
        <v>0</v>
      </c>
      <c r="K531" s="40">
        <v>0</v>
      </c>
      <c r="L531" s="21">
        <v>0</v>
      </c>
      <c r="M531" s="21">
        <v>628.9</v>
      </c>
      <c r="N531" s="21">
        <v>3333170</v>
      </c>
      <c r="O531" s="21">
        <v>0</v>
      </c>
      <c r="P531" s="21">
        <v>0</v>
      </c>
      <c r="Q531" s="21">
        <v>0</v>
      </c>
      <c r="R531" s="21">
        <v>0</v>
      </c>
      <c r="S531" s="21">
        <v>0</v>
      </c>
      <c r="T531" s="3">
        <v>0</v>
      </c>
      <c r="U531" s="21">
        <v>200000</v>
      </c>
    </row>
    <row r="532" spans="1:22" ht="21.95" customHeight="1">
      <c r="A532" s="19" t="s">
        <v>1430</v>
      </c>
      <c r="B532" s="30" t="s">
        <v>601</v>
      </c>
      <c r="C532" s="1">
        <f t="shared" si="150"/>
        <v>3773790</v>
      </c>
      <c r="D532" s="21">
        <f t="shared" si="168"/>
        <v>0</v>
      </c>
      <c r="E532" s="21">
        <v>0</v>
      </c>
      <c r="F532" s="21">
        <v>0</v>
      </c>
      <c r="G532" s="21">
        <v>0</v>
      </c>
      <c r="H532" s="21">
        <v>0</v>
      </c>
      <c r="I532" s="21">
        <v>0</v>
      </c>
      <c r="J532" s="21">
        <v>0</v>
      </c>
      <c r="K532" s="5">
        <v>0</v>
      </c>
      <c r="L532" s="3">
        <v>0</v>
      </c>
      <c r="M532" s="3">
        <v>674.3</v>
      </c>
      <c r="N532" s="3">
        <v>3573790</v>
      </c>
      <c r="O532" s="3">
        <v>0</v>
      </c>
      <c r="P532" s="3">
        <v>0</v>
      </c>
      <c r="Q532" s="3">
        <v>0</v>
      </c>
      <c r="R532" s="3">
        <v>0</v>
      </c>
      <c r="S532" s="3">
        <v>0</v>
      </c>
      <c r="T532" s="3">
        <v>0</v>
      </c>
      <c r="U532" s="3">
        <v>200000</v>
      </c>
      <c r="V532" s="13"/>
    </row>
    <row r="533" spans="1:22" ht="21.95" customHeight="1">
      <c r="A533" s="19" t="s">
        <v>1431</v>
      </c>
      <c r="B533" s="30" t="s">
        <v>495</v>
      </c>
      <c r="C533" s="1">
        <f t="shared" si="150"/>
        <v>6274060</v>
      </c>
      <c r="D533" s="21">
        <f t="shared" si="168"/>
        <v>1383800</v>
      </c>
      <c r="E533" s="21">
        <f>350*748</f>
        <v>261800</v>
      </c>
      <c r="F533" s="21">
        <f>800*748</f>
        <v>598400</v>
      </c>
      <c r="G533" s="21">
        <f>300*748</f>
        <v>224400</v>
      </c>
      <c r="H533" s="21">
        <f>500*0</f>
        <v>0</v>
      </c>
      <c r="I533" s="21">
        <f>400*748</f>
        <v>299200</v>
      </c>
      <c r="J533" s="21">
        <f>350*0</f>
        <v>0</v>
      </c>
      <c r="K533" s="40">
        <v>0</v>
      </c>
      <c r="L533" s="21">
        <v>0</v>
      </c>
      <c r="M533" s="21">
        <v>639.20000000000005</v>
      </c>
      <c r="N533" s="21">
        <v>3387760</v>
      </c>
      <c r="O533" s="21">
        <v>0</v>
      </c>
      <c r="P533" s="21">
        <v>0</v>
      </c>
      <c r="Q533" s="21">
        <v>500</v>
      </c>
      <c r="R533" s="21">
        <v>1302500</v>
      </c>
      <c r="S533" s="21">
        <v>0</v>
      </c>
      <c r="T533" s="3">
        <v>0</v>
      </c>
      <c r="U533" s="21">
        <v>200000</v>
      </c>
    </row>
    <row r="534" spans="1:22" ht="21.95" customHeight="1">
      <c r="A534" s="19" t="s">
        <v>1432</v>
      </c>
      <c r="B534" s="24" t="s">
        <v>602</v>
      </c>
      <c r="C534" s="1">
        <f t="shared" si="150"/>
        <v>1586480</v>
      </c>
      <c r="D534" s="21">
        <f t="shared" si="168"/>
        <v>0</v>
      </c>
      <c r="E534" s="21">
        <v>0</v>
      </c>
      <c r="F534" s="21">
        <v>0</v>
      </c>
      <c r="G534" s="21">
        <v>0</v>
      </c>
      <c r="H534" s="21">
        <v>0</v>
      </c>
      <c r="I534" s="21">
        <v>0</v>
      </c>
      <c r="J534" s="21">
        <v>0</v>
      </c>
      <c r="K534" s="5">
        <v>0</v>
      </c>
      <c r="L534" s="3">
        <v>0</v>
      </c>
      <c r="M534" s="3">
        <v>261.60000000000002</v>
      </c>
      <c r="N534" s="3">
        <v>1386480</v>
      </c>
      <c r="O534" s="3">
        <v>0</v>
      </c>
      <c r="P534" s="3">
        <v>0</v>
      </c>
      <c r="Q534" s="3">
        <v>0</v>
      </c>
      <c r="R534" s="3">
        <v>0</v>
      </c>
      <c r="S534" s="3">
        <v>0</v>
      </c>
      <c r="T534" s="3">
        <v>0</v>
      </c>
      <c r="U534" s="3">
        <v>200000</v>
      </c>
      <c r="V534" s="13"/>
    </row>
    <row r="535" spans="1:22" ht="21.95" customHeight="1">
      <c r="A535" s="19" t="s">
        <v>1433</v>
      </c>
      <c r="B535" s="24" t="s">
        <v>603</v>
      </c>
      <c r="C535" s="1">
        <f t="shared" si="150"/>
        <v>6939850</v>
      </c>
      <c r="D535" s="21">
        <f t="shared" si="168"/>
        <v>3978550</v>
      </c>
      <c r="E535" s="21">
        <f>350*[1]Прилож!$H$484</f>
        <v>592550</v>
      </c>
      <c r="F535" s="21">
        <f>800*[1]Прилож!$H$484</f>
        <v>1354400</v>
      </c>
      <c r="G535" s="21">
        <f>300*[1]Прилож!$H$484</f>
        <v>507900</v>
      </c>
      <c r="H535" s="21">
        <f>500*[1]Прилож!$H$484</f>
        <v>846500</v>
      </c>
      <c r="I535" s="21">
        <f>400*[1]Прилож!$H$484</f>
        <v>677200</v>
      </c>
      <c r="J535" s="21">
        <f>350*0</f>
        <v>0</v>
      </c>
      <c r="K535" s="5">
        <v>0</v>
      </c>
      <c r="L535" s="3">
        <v>0</v>
      </c>
      <c r="M535" s="3">
        <v>0</v>
      </c>
      <c r="N535" s="3">
        <v>0</v>
      </c>
      <c r="O535" s="3">
        <v>0</v>
      </c>
      <c r="P535" s="3">
        <v>0</v>
      </c>
      <c r="Q535" s="3">
        <v>1060</v>
      </c>
      <c r="R535" s="3">
        <v>2761300</v>
      </c>
      <c r="S535" s="3">
        <v>0</v>
      </c>
      <c r="T535" s="3">
        <v>0</v>
      </c>
      <c r="U535" s="3">
        <v>200000</v>
      </c>
      <c r="V535" s="13"/>
    </row>
    <row r="536" spans="1:22" ht="21.95" customHeight="1">
      <c r="A536" s="19" t="s">
        <v>1434</v>
      </c>
      <c r="B536" s="24" t="s">
        <v>403</v>
      </c>
      <c r="C536" s="1">
        <f t="shared" si="150"/>
        <v>3038612</v>
      </c>
      <c r="D536" s="21">
        <f t="shared" si="168"/>
        <v>2838612</v>
      </c>
      <c r="E536" s="21">
        <f>350*1207.92</f>
        <v>422772</v>
      </c>
      <c r="F536" s="21">
        <f>800*1207.92</f>
        <v>966336</v>
      </c>
      <c r="G536" s="21">
        <f>300*1207.92</f>
        <v>362376</v>
      </c>
      <c r="H536" s="21">
        <f>500*1207.92</f>
        <v>603960</v>
      </c>
      <c r="I536" s="21">
        <f>400*1207.92</f>
        <v>483168</v>
      </c>
      <c r="J536" s="21">
        <f>350*0</f>
        <v>0</v>
      </c>
      <c r="K536" s="40">
        <v>0</v>
      </c>
      <c r="L536" s="21">
        <v>0</v>
      </c>
      <c r="M536" s="21">
        <v>0</v>
      </c>
      <c r="N536" s="21">
        <v>0</v>
      </c>
      <c r="O536" s="21">
        <v>0</v>
      </c>
      <c r="P536" s="21">
        <v>0</v>
      </c>
      <c r="Q536" s="21">
        <v>0</v>
      </c>
      <c r="R536" s="21">
        <v>0</v>
      </c>
      <c r="S536" s="21">
        <v>0</v>
      </c>
      <c r="T536" s="21">
        <v>0</v>
      </c>
      <c r="U536" s="21">
        <v>200000</v>
      </c>
    </row>
    <row r="537" spans="1:22" ht="21.95" customHeight="1">
      <c r="A537" s="19" t="s">
        <v>1435</v>
      </c>
      <c r="B537" s="24" t="s">
        <v>456</v>
      </c>
      <c r="C537" s="1">
        <f t="shared" si="150"/>
        <v>1870200</v>
      </c>
      <c r="D537" s="21">
        <f t="shared" si="168"/>
        <v>0</v>
      </c>
      <c r="E537" s="21">
        <v>0</v>
      </c>
      <c r="F537" s="21">
        <v>0</v>
      </c>
      <c r="G537" s="21">
        <v>0</v>
      </c>
      <c r="H537" s="21">
        <v>0</v>
      </c>
      <c r="I537" s="21">
        <v>0</v>
      </c>
      <c r="J537" s="21">
        <v>0</v>
      </c>
      <c r="K537" s="40">
        <v>0</v>
      </c>
      <c r="L537" s="21">
        <v>0</v>
      </c>
      <c r="M537" s="21">
        <v>334</v>
      </c>
      <c r="N537" s="21">
        <v>1770200</v>
      </c>
      <c r="O537" s="21">
        <v>0</v>
      </c>
      <c r="P537" s="21">
        <v>0</v>
      </c>
      <c r="Q537" s="21">
        <v>0</v>
      </c>
      <c r="R537" s="21">
        <v>0</v>
      </c>
      <c r="S537" s="21">
        <v>0</v>
      </c>
      <c r="T537" s="3">
        <v>0</v>
      </c>
      <c r="U537" s="21">
        <v>100000</v>
      </c>
    </row>
    <row r="538" spans="1:22" ht="21.95" customHeight="1">
      <c r="A538" s="19" t="s">
        <v>1436</v>
      </c>
      <c r="B538" s="24" t="s">
        <v>457</v>
      </c>
      <c r="C538" s="1">
        <f t="shared" si="150"/>
        <v>1880800</v>
      </c>
      <c r="D538" s="21">
        <f t="shared" si="168"/>
        <v>0</v>
      </c>
      <c r="E538" s="21">
        <v>0</v>
      </c>
      <c r="F538" s="21">
        <v>0</v>
      </c>
      <c r="G538" s="21">
        <v>0</v>
      </c>
      <c r="H538" s="21">
        <v>0</v>
      </c>
      <c r="I538" s="21">
        <v>0</v>
      </c>
      <c r="J538" s="21">
        <v>0</v>
      </c>
      <c r="K538" s="40">
        <v>0</v>
      </c>
      <c r="L538" s="21">
        <v>0</v>
      </c>
      <c r="M538" s="21">
        <v>336</v>
      </c>
      <c r="N538" s="21">
        <v>1780800</v>
      </c>
      <c r="O538" s="21">
        <v>0</v>
      </c>
      <c r="P538" s="21">
        <v>0</v>
      </c>
      <c r="Q538" s="21">
        <v>0</v>
      </c>
      <c r="R538" s="21">
        <v>0</v>
      </c>
      <c r="S538" s="21">
        <v>0</v>
      </c>
      <c r="T538" s="3">
        <v>0</v>
      </c>
      <c r="U538" s="21">
        <v>100000</v>
      </c>
    </row>
    <row r="539" spans="1:22" ht="21.95" customHeight="1">
      <c r="A539" s="19" t="s">
        <v>1437</v>
      </c>
      <c r="B539" s="24" t="s">
        <v>604</v>
      </c>
      <c r="C539" s="1">
        <f t="shared" si="150"/>
        <v>3194500</v>
      </c>
      <c r="D539" s="21">
        <f t="shared" si="168"/>
        <v>0</v>
      </c>
      <c r="E539" s="21">
        <v>0</v>
      </c>
      <c r="F539" s="21">
        <v>0</v>
      </c>
      <c r="G539" s="21">
        <v>0</v>
      </c>
      <c r="H539" s="21">
        <v>0</v>
      </c>
      <c r="I539" s="21">
        <v>0</v>
      </c>
      <c r="J539" s="21">
        <v>0</v>
      </c>
      <c r="K539" s="5">
        <v>0</v>
      </c>
      <c r="L539" s="3">
        <v>0</v>
      </c>
      <c r="M539" s="3">
        <v>565</v>
      </c>
      <c r="N539" s="3">
        <v>2994500</v>
      </c>
      <c r="O539" s="3">
        <v>0</v>
      </c>
      <c r="P539" s="3">
        <v>0</v>
      </c>
      <c r="Q539" s="3">
        <v>0</v>
      </c>
      <c r="R539" s="3">
        <v>0</v>
      </c>
      <c r="S539" s="3">
        <v>0</v>
      </c>
      <c r="T539" s="3">
        <v>0</v>
      </c>
      <c r="U539" s="3">
        <v>200000</v>
      </c>
      <c r="V539" s="13"/>
    </row>
    <row r="540" spans="1:22" ht="21.95" customHeight="1">
      <c r="A540" s="19" t="s">
        <v>1438</v>
      </c>
      <c r="B540" s="24" t="s">
        <v>1514</v>
      </c>
      <c r="C540" s="1">
        <f t="shared" si="150"/>
        <v>1692056</v>
      </c>
      <c r="D540" s="21">
        <f t="shared" si="168"/>
        <v>0</v>
      </c>
      <c r="E540" s="21">
        <v>0</v>
      </c>
      <c r="F540" s="21">
        <v>0</v>
      </c>
      <c r="G540" s="21">
        <v>0</v>
      </c>
      <c r="H540" s="21">
        <v>0</v>
      </c>
      <c r="I540" s="21">
        <v>0</v>
      </c>
      <c r="J540" s="21">
        <v>0</v>
      </c>
      <c r="K540" s="5">
        <v>0</v>
      </c>
      <c r="L540" s="3">
        <v>0</v>
      </c>
      <c r="M540" s="3">
        <v>281.52</v>
      </c>
      <c r="N540" s="3">
        <f>M540*5300</f>
        <v>1492056</v>
      </c>
      <c r="O540" s="3">
        <v>0</v>
      </c>
      <c r="P540" s="3">
        <v>0</v>
      </c>
      <c r="Q540" s="3">
        <v>0</v>
      </c>
      <c r="R540" s="3">
        <v>0</v>
      </c>
      <c r="S540" s="3">
        <v>0</v>
      </c>
      <c r="T540" s="3">
        <v>0</v>
      </c>
      <c r="U540" s="3">
        <v>200000</v>
      </c>
      <c r="V540" s="13"/>
    </row>
    <row r="541" spans="1:22" ht="21.95" customHeight="1">
      <c r="A541" s="19" t="s">
        <v>1439</v>
      </c>
      <c r="B541" s="24" t="s">
        <v>409</v>
      </c>
      <c r="C541" s="1">
        <f t="shared" si="150"/>
        <v>3241662</v>
      </c>
      <c r="D541" s="21">
        <f t="shared" si="168"/>
        <v>0</v>
      </c>
      <c r="E541" s="21">
        <v>0</v>
      </c>
      <c r="F541" s="21">
        <v>0</v>
      </c>
      <c r="G541" s="21">
        <v>0</v>
      </c>
      <c r="H541" s="21">
        <v>0</v>
      </c>
      <c r="I541" s="21">
        <v>0</v>
      </c>
      <c r="J541" s="21">
        <v>0</v>
      </c>
      <c r="K541" s="40">
        <v>0</v>
      </c>
      <c r="L541" s="21">
        <v>0</v>
      </c>
      <c r="M541" s="21">
        <v>394</v>
      </c>
      <c r="N541" s="21">
        <v>2088200</v>
      </c>
      <c r="O541" s="21">
        <v>0</v>
      </c>
      <c r="P541" s="21">
        <v>0</v>
      </c>
      <c r="Q541" s="21">
        <v>404.4</v>
      </c>
      <c r="R541" s="21">
        <v>1053462</v>
      </c>
      <c r="S541" s="21">
        <v>0</v>
      </c>
      <c r="T541" s="3">
        <v>0</v>
      </c>
      <c r="U541" s="21">
        <v>100000</v>
      </c>
    </row>
    <row r="542" spans="1:22" ht="21.95" customHeight="1">
      <c r="A542" s="19" t="s">
        <v>1440</v>
      </c>
      <c r="B542" s="24" t="s">
        <v>528</v>
      </c>
      <c r="C542" s="1">
        <f t="shared" si="150"/>
        <v>2579220</v>
      </c>
      <c r="D542" s="21">
        <f t="shared" si="168"/>
        <v>0</v>
      </c>
      <c r="E542" s="21">
        <v>0</v>
      </c>
      <c r="F542" s="21">
        <v>0</v>
      </c>
      <c r="G542" s="21">
        <v>0</v>
      </c>
      <c r="H542" s="21">
        <v>0</v>
      </c>
      <c r="I542" s="21">
        <v>0</v>
      </c>
      <c r="J542" s="21">
        <v>0</v>
      </c>
      <c r="K542" s="5">
        <v>0</v>
      </c>
      <c r="L542" s="3">
        <v>0</v>
      </c>
      <c r="M542" s="3">
        <v>270</v>
      </c>
      <c r="N542" s="3">
        <v>1431000</v>
      </c>
      <c r="O542" s="3">
        <v>0</v>
      </c>
      <c r="P542" s="3">
        <v>0</v>
      </c>
      <c r="Q542" s="3">
        <v>364</v>
      </c>
      <c r="R542" s="3">
        <v>948220</v>
      </c>
      <c r="S542" s="3">
        <v>0</v>
      </c>
      <c r="T542" s="3">
        <v>0</v>
      </c>
      <c r="U542" s="3">
        <v>200000</v>
      </c>
      <c r="V542" s="13"/>
    </row>
    <row r="543" spans="1:22" ht="21.95" customHeight="1">
      <c r="A543" s="19" t="s">
        <v>1441</v>
      </c>
      <c r="B543" s="24" t="s">
        <v>605</v>
      </c>
      <c r="C543" s="1">
        <f t="shared" si="150"/>
        <v>1668100</v>
      </c>
      <c r="D543" s="21">
        <f t="shared" si="168"/>
        <v>0</v>
      </c>
      <c r="E543" s="21">
        <v>0</v>
      </c>
      <c r="F543" s="21">
        <v>0</v>
      </c>
      <c r="G543" s="21">
        <v>0</v>
      </c>
      <c r="H543" s="21">
        <v>0</v>
      </c>
      <c r="I543" s="21">
        <v>0</v>
      </c>
      <c r="J543" s="21">
        <v>0</v>
      </c>
      <c r="K543" s="5">
        <v>0</v>
      </c>
      <c r="L543" s="3">
        <v>0</v>
      </c>
      <c r="M543" s="3">
        <v>277</v>
      </c>
      <c r="N543" s="3">
        <v>1468100</v>
      </c>
      <c r="O543" s="3">
        <v>0</v>
      </c>
      <c r="P543" s="3">
        <v>0</v>
      </c>
      <c r="Q543" s="3">
        <v>0</v>
      </c>
      <c r="R543" s="3">
        <v>0</v>
      </c>
      <c r="S543" s="3">
        <v>0</v>
      </c>
      <c r="T543" s="3">
        <v>0</v>
      </c>
      <c r="U543" s="3">
        <v>200000</v>
      </c>
      <c r="V543" s="13"/>
    </row>
    <row r="544" spans="1:22" ht="21.95" customHeight="1">
      <c r="A544" s="19" t="s">
        <v>1442</v>
      </c>
      <c r="B544" s="24" t="s">
        <v>704</v>
      </c>
      <c r="C544" s="1">
        <f t="shared" si="150"/>
        <v>904370</v>
      </c>
      <c r="D544" s="21">
        <f t="shared" si="168"/>
        <v>0</v>
      </c>
      <c r="E544" s="21">
        <v>0</v>
      </c>
      <c r="F544" s="21">
        <v>0</v>
      </c>
      <c r="G544" s="21">
        <v>0</v>
      </c>
      <c r="H544" s="21">
        <v>0</v>
      </c>
      <c r="I544" s="21">
        <v>0</v>
      </c>
      <c r="J544" s="21">
        <v>0</v>
      </c>
      <c r="K544" s="40">
        <v>0</v>
      </c>
      <c r="L544" s="21">
        <v>0</v>
      </c>
      <c r="M544" s="21">
        <v>132.9</v>
      </c>
      <c r="N544" s="21">
        <v>704370</v>
      </c>
      <c r="O544" s="21">
        <v>0</v>
      </c>
      <c r="P544" s="21">
        <v>0</v>
      </c>
      <c r="Q544" s="21">
        <v>0</v>
      </c>
      <c r="R544" s="21">
        <v>0</v>
      </c>
      <c r="S544" s="21">
        <v>0</v>
      </c>
      <c r="T544" s="3">
        <v>0</v>
      </c>
      <c r="U544" s="21">
        <v>200000</v>
      </c>
    </row>
    <row r="545" spans="1:22" ht="21.95" customHeight="1">
      <c r="A545" s="19" t="s">
        <v>1443</v>
      </c>
      <c r="B545" s="24" t="s">
        <v>529</v>
      </c>
      <c r="C545" s="1">
        <f t="shared" si="150"/>
        <v>1693540</v>
      </c>
      <c r="D545" s="21">
        <f t="shared" si="168"/>
        <v>0</v>
      </c>
      <c r="E545" s="21">
        <v>0</v>
      </c>
      <c r="F545" s="21">
        <v>0</v>
      </c>
      <c r="G545" s="21">
        <v>0</v>
      </c>
      <c r="H545" s="21">
        <v>0</v>
      </c>
      <c r="I545" s="21">
        <v>0</v>
      </c>
      <c r="J545" s="21">
        <v>0</v>
      </c>
      <c r="K545" s="5">
        <v>0</v>
      </c>
      <c r="L545" s="3">
        <v>0</v>
      </c>
      <c r="M545" s="3">
        <v>281.8</v>
      </c>
      <c r="N545" s="3">
        <v>1493540</v>
      </c>
      <c r="O545" s="3">
        <v>0</v>
      </c>
      <c r="P545" s="3">
        <v>0</v>
      </c>
      <c r="Q545" s="3">
        <v>0</v>
      </c>
      <c r="R545" s="3">
        <v>0</v>
      </c>
      <c r="S545" s="3">
        <v>0</v>
      </c>
      <c r="T545" s="3">
        <v>0</v>
      </c>
      <c r="U545" s="3">
        <v>200000</v>
      </c>
      <c r="V545" s="13"/>
    </row>
    <row r="546" spans="1:22" ht="21.95" customHeight="1">
      <c r="A546" s="19" t="s">
        <v>1444</v>
      </c>
      <c r="B546" s="24" t="s">
        <v>606</v>
      </c>
      <c r="C546" s="1">
        <f t="shared" si="150"/>
        <v>2913600</v>
      </c>
      <c r="D546" s="21">
        <f t="shared" si="168"/>
        <v>0</v>
      </c>
      <c r="E546" s="21">
        <v>0</v>
      </c>
      <c r="F546" s="21">
        <v>0</v>
      </c>
      <c r="G546" s="21">
        <v>0</v>
      </c>
      <c r="H546" s="21">
        <v>0</v>
      </c>
      <c r="I546" s="21">
        <v>0</v>
      </c>
      <c r="J546" s="21">
        <v>0</v>
      </c>
      <c r="K546" s="5">
        <v>0</v>
      </c>
      <c r="L546" s="3">
        <v>0</v>
      </c>
      <c r="M546" s="3">
        <v>512</v>
      </c>
      <c r="N546" s="3">
        <v>2713600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200000</v>
      </c>
      <c r="V546" s="13"/>
    </row>
    <row r="547" spans="1:22" ht="21.95" customHeight="1">
      <c r="A547" s="19" t="s">
        <v>1445</v>
      </c>
      <c r="B547" s="30" t="s">
        <v>607</v>
      </c>
      <c r="C547" s="1">
        <f t="shared" si="150"/>
        <v>6012701.5</v>
      </c>
      <c r="D547" s="21">
        <f t="shared" si="168"/>
        <v>5812701.5</v>
      </c>
      <c r="E547" s="21">
        <f>350*[1]Прилож!$H$524</f>
        <v>865721.49999999988</v>
      </c>
      <c r="F547" s="21">
        <f>800*[1]Прилож!$H$524</f>
        <v>1978791.9999999998</v>
      </c>
      <c r="G547" s="21">
        <f>300*[1]Прилож!$H$524</f>
        <v>742046.99999999988</v>
      </c>
      <c r="H547" s="21">
        <f>500*[1]Прилож!$H$524</f>
        <v>1236745</v>
      </c>
      <c r="I547" s="21">
        <f>400*[1]Прилож!$H$524</f>
        <v>989395.99999999988</v>
      </c>
      <c r="J547" s="21">
        <f>350*0</f>
        <v>0</v>
      </c>
      <c r="K547" s="5">
        <v>0</v>
      </c>
      <c r="L547" s="3">
        <v>0</v>
      </c>
      <c r="M547" s="3">
        <v>0</v>
      </c>
      <c r="N547" s="3">
        <v>0</v>
      </c>
      <c r="O547" s="3">
        <v>0</v>
      </c>
      <c r="P547" s="3">
        <v>0</v>
      </c>
      <c r="Q547" s="3">
        <v>0</v>
      </c>
      <c r="R547" s="3">
        <v>0</v>
      </c>
      <c r="S547" s="3">
        <v>0</v>
      </c>
      <c r="T547" s="3">
        <v>0</v>
      </c>
      <c r="U547" s="3">
        <v>200000</v>
      </c>
      <c r="V547" s="13"/>
    </row>
    <row r="548" spans="1:22" ht="21.95" customHeight="1">
      <c r="A548" s="19" t="s">
        <v>1446</v>
      </c>
      <c r="B548" s="24" t="s">
        <v>608</v>
      </c>
      <c r="C548" s="1">
        <f t="shared" si="150"/>
        <v>3597630</v>
      </c>
      <c r="D548" s="21">
        <f t="shared" si="168"/>
        <v>3397630</v>
      </c>
      <c r="E548" s="21">
        <f>350*[1]Прилож!$H$526</f>
        <v>506030</v>
      </c>
      <c r="F548" s="21">
        <f>800*[1]Прилож!$H$526</f>
        <v>1156640</v>
      </c>
      <c r="G548" s="21">
        <f>300*[1]Прилож!$H$526</f>
        <v>433740</v>
      </c>
      <c r="H548" s="21">
        <f>500*[1]Прилож!$H$526</f>
        <v>722900</v>
      </c>
      <c r="I548" s="21">
        <f>400*[1]Прилож!$H$526</f>
        <v>578320</v>
      </c>
      <c r="J548" s="21">
        <f>350*0</f>
        <v>0</v>
      </c>
      <c r="K548" s="5">
        <v>0</v>
      </c>
      <c r="L548" s="3">
        <v>0</v>
      </c>
      <c r="M548" s="3">
        <v>0</v>
      </c>
      <c r="N548" s="3">
        <v>0</v>
      </c>
      <c r="O548" s="3">
        <v>0</v>
      </c>
      <c r="P548" s="3">
        <v>0</v>
      </c>
      <c r="Q548" s="3">
        <v>0</v>
      </c>
      <c r="R548" s="3">
        <v>0</v>
      </c>
      <c r="S548" s="3">
        <v>0</v>
      </c>
      <c r="T548" s="3">
        <v>0</v>
      </c>
      <c r="U548" s="3">
        <v>200000</v>
      </c>
      <c r="V548" s="13"/>
    </row>
    <row r="549" spans="1:22" ht="21.95" customHeight="1">
      <c r="A549" s="19" t="s">
        <v>1447</v>
      </c>
      <c r="B549" s="30" t="s">
        <v>609</v>
      </c>
      <c r="C549" s="1">
        <f t="shared" si="150"/>
        <v>1951925</v>
      </c>
      <c r="D549" s="21">
        <f t="shared" si="168"/>
        <v>1751925</v>
      </c>
      <c r="E549" s="21">
        <f>350*[1]Прилож!$H$520</f>
        <v>260925</v>
      </c>
      <c r="F549" s="21">
        <f>800*[1]Прилож!$H$520</f>
        <v>596400</v>
      </c>
      <c r="G549" s="21">
        <f>300*[1]Прилож!$H$520</f>
        <v>223650</v>
      </c>
      <c r="H549" s="21">
        <f>500*[1]Прилож!$H$520</f>
        <v>372750</v>
      </c>
      <c r="I549" s="21">
        <f>400*[1]Прилож!$H$520</f>
        <v>298200</v>
      </c>
      <c r="J549" s="21">
        <f>350*0</f>
        <v>0</v>
      </c>
      <c r="K549" s="5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200000</v>
      </c>
      <c r="V549" s="13"/>
    </row>
    <row r="550" spans="1:22" ht="21.95" customHeight="1">
      <c r="A550" s="19" t="s">
        <v>1448</v>
      </c>
      <c r="B550" s="30" t="s">
        <v>1345</v>
      </c>
      <c r="C550" s="1">
        <f t="shared" ref="C550:C613" si="169">D550+L550+N550+P550+R550+S550+T550+U550</f>
        <v>3416700</v>
      </c>
      <c r="D550" s="21">
        <f t="shared" si="168"/>
        <v>0</v>
      </c>
      <c r="E550" s="21">
        <v>0</v>
      </c>
      <c r="F550" s="21">
        <v>0</v>
      </c>
      <c r="G550" s="21">
        <v>0</v>
      </c>
      <c r="H550" s="21">
        <v>0</v>
      </c>
      <c r="I550" s="21">
        <v>0</v>
      </c>
      <c r="J550" s="21">
        <v>0</v>
      </c>
      <c r="K550" s="5">
        <v>0</v>
      </c>
      <c r="L550" s="3">
        <v>0</v>
      </c>
      <c r="M550" s="3">
        <v>371</v>
      </c>
      <c r="N550" s="3">
        <f>M550*5300</f>
        <v>1966300</v>
      </c>
      <c r="O550" s="3">
        <v>0</v>
      </c>
      <c r="P550" s="3">
        <v>0</v>
      </c>
      <c r="Q550" s="3">
        <v>480</v>
      </c>
      <c r="R550" s="3">
        <f>480*2605</f>
        <v>1250400</v>
      </c>
      <c r="S550" s="3">
        <v>0</v>
      </c>
      <c r="T550" s="3">
        <v>0</v>
      </c>
      <c r="U550" s="3">
        <v>200000</v>
      </c>
      <c r="V550" s="13"/>
    </row>
    <row r="551" spans="1:22" ht="21.95" customHeight="1">
      <c r="A551" s="19" t="s">
        <v>1449</v>
      </c>
      <c r="B551" s="30" t="s">
        <v>444</v>
      </c>
      <c r="C551" s="1">
        <f t="shared" si="169"/>
        <v>2220000</v>
      </c>
      <c r="D551" s="21">
        <f t="shared" si="168"/>
        <v>0</v>
      </c>
      <c r="E551" s="21">
        <v>0</v>
      </c>
      <c r="F551" s="21">
        <v>0</v>
      </c>
      <c r="G551" s="21">
        <v>0</v>
      </c>
      <c r="H551" s="21">
        <v>0</v>
      </c>
      <c r="I551" s="21">
        <v>0</v>
      </c>
      <c r="J551" s="21">
        <v>0</v>
      </c>
      <c r="K551" s="40">
        <v>0</v>
      </c>
      <c r="L551" s="21">
        <v>0</v>
      </c>
      <c r="M551" s="21">
        <v>400</v>
      </c>
      <c r="N551" s="21">
        <f>M551*5300</f>
        <v>2120000</v>
      </c>
      <c r="O551" s="21">
        <v>0</v>
      </c>
      <c r="P551" s="21">
        <v>0</v>
      </c>
      <c r="Q551" s="21">
        <v>0</v>
      </c>
      <c r="R551" s="21">
        <v>0</v>
      </c>
      <c r="S551" s="21">
        <v>0</v>
      </c>
      <c r="T551" s="3">
        <v>0</v>
      </c>
      <c r="U551" s="21">
        <v>100000</v>
      </c>
    </row>
    <row r="552" spans="1:22" ht="21.95" customHeight="1">
      <c r="A552" s="19" t="s">
        <v>1450</v>
      </c>
      <c r="B552" s="30" t="s">
        <v>449</v>
      </c>
      <c r="C552" s="1">
        <f t="shared" si="169"/>
        <v>3577385</v>
      </c>
      <c r="D552" s="21">
        <f t="shared" si="168"/>
        <v>0</v>
      </c>
      <c r="E552" s="21">
        <v>0</v>
      </c>
      <c r="F552" s="21">
        <v>0</v>
      </c>
      <c r="G552" s="21">
        <v>0</v>
      </c>
      <c r="H552" s="21">
        <v>0</v>
      </c>
      <c r="I552" s="21">
        <v>0</v>
      </c>
      <c r="J552" s="21">
        <v>0</v>
      </c>
      <c r="K552" s="40">
        <v>0</v>
      </c>
      <c r="L552" s="21">
        <v>0</v>
      </c>
      <c r="M552" s="21">
        <v>402</v>
      </c>
      <c r="N552" s="21">
        <f>M552*5300</f>
        <v>2130600</v>
      </c>
      <c r="O552" s="21">
        <v>0</v>
      </c>
      <c r="P552" s="21">
        <v>0</v>
      </c>
      <c r="Q552" s="21">
        <v>517</v>
      </c>
      <c r="R552" s="21">
        <f>Q552*2605</f>
        <v>1346785</v>
      </c>
      <c r="S552" s="21">
        <v>0</v>
      </c>
      <c r="T552" s="3">
        <v>0</v>
      </c>
      <c r="U552" s="21">
        <v>100000</v>
      </c>
    </row>
    <row r="553" spans="1:22" ht="21.95" customHeight="1">
      <c r="A553" s="19" t="s">
        <v>1451</v>
      </c>
      <c r="B553" s="30" t="s">
        <v>530</v>
      </c>
      <c r="C553" s="1">
        <f t="shared" si="169"/>
        <v>2017900</v>
      </c>
      <c r="D553" s="21">
        <f t="shared" si="168"/>
        <v>0</v>
      </c>
      <c r="E553" s="21">
        <v>0</v>
      </c>
      <c r="F553" s="21">
        <v>0</v>
      </c>
      <c r="G553" s="21">
        <v>0</v>
      </c>
      <c r="H553" s="21">
        <v>0</v>
      </c>
      <c r="I553" s="21">
        <v>0</v>
      </c>
      <c r="J553" s="21">
        <v>0</v>
      </c>
      <c r="K553" s="5">
        <v>0</v>
      </c>
      <c r="L553" s="3">
        <v>0</v>
      </c>
      <c r="M553" s="3">
        <v>343</v>
      </c>
      <c r="N553" s="3">
        <v>1817900</v>
      </c>
      <c r="O553" s="3">
        <v>0</v>
      </c>
      <c r="P553" s="3">
        <v>0</v>
      </c>
      <c r="Q553" s="3">
        <v>0</v>
      </c>
      <c r="R553" s="3">
        <v>0</v>
      </c>
      <c r="S553" s="3">
        <v>0</v>
      </c>
      <c r="T553" s="3">
        <v>0</v>
      </c>
      <c r="U553" s="3">
        <v>200000</v>
      </c>
      <c r="V553" s="13"/>
    </row>
    <row r="554" spans="1:22" ht="21.95" customHeight="1">
      <c r="A554" s="19" t="s">
        <v>1452</v>
      </c>
      <c r="B554" s="30" t="s">
        <v>480</v>
      </c>
      <c r="C554" s="1">
        <f t="shared" si="169"/>
        <v>1960300</v>
      </c>
      <c r="D554" s="21">
        <f t="shared" si="168"/>
        <v>0</v>
      </c>
      <c r="E554" s="21">
        <v>0</v>
      </c>
      <c r="F554" s="21">
        <v>0</v>
      </c>
      <c r="G554" s="21">
        <v>0</v>
      </c>
      <c r="H554" s="21">
        <v>0</v>
      </c>
      <c r="I554" s="21">
        <v>0</v>
      </c>
      <c r="J554" s="21">
        <v>0</v>
      </c>
      <c r="K554" s="40">
        <v>0</v>
      </c>
      <c r="L554" s="21">
        <v>0</v>
      </c>
      <c r="M554" s="21">
        <v>351</v>
      </c>
      <c r="N554" s="21">
        <f>M554*5300</f>
        <v>1860300</v>
      </c>
      <c r="O554" s="21">
        <v>0</v>
      </c>
      <c r="P554" s="21">
        <v>0</v>
      </c>
      <c r="Q554" s="21">
        <v>0</v>
      </c>
      <c r="R554" s="21">
        <v>0</v>
      </c>
      <c r="S554" s="21">
        <v>0</v>
      </c>
      <c r="T554" s="3">
        <v>0</v>
      </c>
      <c r="U554" s="21">
        <v>100000</v>
      </c>
    </row>
    <row r="555" spans="1:22" ht="31.5">
      <c r="A555" s="19" t="s">
        <v>1453</v>
      </c>
      <c r="B555" s="24" t="s">
        <v>1589</v>
      </c>
      <c r="C555" s="1">
        <f t="shared" si="169"/>
        <v>5208500</v>
      </c>
      <c r="D555" s="21">
        <f t="shared" si="168"/>
        <v>0</v>
      </c>
      <c r="E555" s="21">
        <v>0</v>
      </c>
      <c r="F555" s="21">
        <v>0</v>
      </c>
      <c r="G555" s="21">
        <v>0</v>
      </c>
      <c r="H555" s="21">
        <v>0</v>
      </c>
      <c r="I555" s="21">
        <v>0</v>
      </c>
      <c r="J555" s="21">
        <v>0</v>
      </c>
      <c r="K555" s="5">
        <v>0</v>
      </c>
      <c r="L555" s="3">
        <v>0</v>
      </c>
      <c r="M555" s="3">
        <v>945</v>
      </c>
      <c r="N555" s="3">
        <v>5008500</v>
      </c>
      <c r="O555" s="3">
        <v>0</v>
      </c>
      <c r="P555" s="3">
        <v>0</v>
      </c>
      <c r="Q555" s="3">
        <v>0</v>
      </c>
      <c r="R555" s="3">
        <v>0</v>
      </c>
      <c r="S555" s="3">
        <v>0</v>
      </c>
      <c r="T555" s="3">
        <v>0</v>
      </c>
      <c r="U555" s="3">
        <v>200000</v>
      </c>
      <c r="V555" s="13"/>
    </row>
    <row r="556" spans="1:22" ht="21.95" customHeight="1">
      <c r="A556" s="19" t="s">
        <v>1454</v>
      </c>
      <c r="B556" s="24" t="s">
        <v>710</v>
      </c>
      <c r="C556" s="1">
        <f t="shared" si="169"/>
        <v>300000</v>
      </c>
      <c r="D556" s="21">
        <f t="shared" si="168"/>
        <v>0</v>
      </c>
      <c r="E556" s="21">
        <v>0</v>
      </c>
      <c r="F556" s="21">
        <v>0</v>
      </c>
      <c r="G556" s="21">
        <v>0</v>
      </c>
      <c r="H556" s="21">
        <v>0</v>
      </c>
      <c r="I556" s="21">
        <v>0</v>
      </c>
      <c r="J556" s="21">
        <v>0</v>
      </c>
      <c r="K556" s="5">
        <v>0</v>
      </c>
      <c r="L556" s="21">
        <v>0</v>
      </c>
      <c r="M556" s="21">
        <v>0</v>
      </c>
      <c r="N556" s="23">
        <v>0</v>
      </c>
      <c r="O556" s="21">
        <v>0</v>
      </c>
      <c r="P556" s="21">
        <v>0</v>
      </c>
      <c r="Q556" s="21">
        <v>0</v>
      </c>
      <c r="R556" s="21">
        <v>0</v>
      </c>
      <c r="S556" s="21">
        <v>0</v>
      </c>
      <c r="T556" s="3">
        <v>0</v>
      </c>
      <c r="U556" s="21">
        <v>300000</v>
      </c>
    </row>
    <row r="557" spans="1:22" ht="21.95" customHeight="1">
      <c r="A557" s="19" t="s">
        <v>1455</v>
      </c>
      <c r="B557" s="24" t="s">
        <v>427</v>
      </c>
      <c r="C557" s="1">
        <f t="shared" si="169"/>
        <v>3621003.5</v>
      </c>
      <c r="D557" s="21">
        <f t="shared" si="168"/>
        <v>571903.5</v>
      </c>
      <c r="E557" s="21">
        <f>350*368.97</f>
        <v>129139.50000000001</v>
      </c>
      <c r="F557" s="21">
        <f>800*0</f>
        <v>0</v>
      </c>
      <c r="G557" s="21">
        <f>300*368.97</f>
        <v>110691.00000000001</v>
      </c>
      <c r="H557" s="21">
        <f>500*368.97</f>
        <v>184485</v>
      </c>
      <c r="I557" s="21">
        <f>400*368.97</f>
        <v>147588</v>
      </c>
      <c r="J557" s="21">
        <f>350*0</f>
        <v>0</v>
      </c>
      <c r="K557" s="40">
        <v>0</v>
      </c>
      <c r="L557" s="21">
        <v>0</v>
      </c>
      <c r="M557" s="21">
        <v>350</v>
      </c>
      <c r="N557" s="21">
        <v>1855000</v>
      </c>
      <c r="O557" s="21">
        <v>0</v>
      </c>
      <c r="P557" s="21">
        <v>0</v>
      </c>
      <c r="Q557" s="21">
        <v>420</v>
      </c>
      <c r="R557" s="21">
        <v>1094100</v>
      </c>
      <c r="S557" s="21">
        <v>0</v>
      </c>
      <c r="T557" s="3">
        <v>0</v>
      </c>
      <c r="U557" s="21">
        <v>100000</v>
      </c>
    </row>
    <row r="558" spans="1:22" ht="21.95" customHeight="1">
      <c r="A558" s="19" t="s">
        <v>1456</v>
      </c>
      <c r="B558" s="24" t="s">
        <v>428</v>
      </c>
      <c r="C558" s="1">
        <f t="shared" si="169"/>
        <v>2008000</v>
      </c>
      <c r="D558" s="21">
        <f t="shared" si="168"/>
        <v>0</v>
      </c>
      <c r="E558" s="21">
        <v>0</v>
      </c>
      <c r="F558" s="21">
        <v>0</v>
      </c>
      <c r="G558" s="21">
        <v>0</v>
      </c>
      <c r="H558" s="21">
        <v>0</v>
      </c>
      <c r="I558" s="21">
        <v>0</v>
      </c>
      <c r="J558" s="21">
        <v>0</v>
      </c>
      <c r="K558" s="40">
        <v>0</v>
      </c>
      <c r="L558" s="21">
        <v>0</v>
      </c>
      <c r="M558" s="21">
        <v>360</v>
      </c>
      <c r="N558" s="21">
        <v>1908000</v>
      </c>
      <c r="O558" s="21">
        <v>0</v>
      </c>
      <c r="P558" s="21">
        <v>0</v>
      </c>
      <c r="Q558" s="21">
        <v>0</v>
      </c>
      <c r="R558" s="21">
        <v>0</v>
      </c>
      <c r="S558" s="21">
        <v>0</v>
      </c>
      <c r="T558" s="3">
        <v>0</v>
      </c>
      <c r="U558" s="21">
        <v>100000</v>
      </c>
    </row>
    <row r="559" spans="1:22" ht="21.95" customHeight="1">
      <c r="A559" s="19" t="s">
        <v>1457</v>
      </c>
      <c r="B559" s="24" t="s">
        <v>429</v>
      </c>
      <c r="C559" s="1">
        <f t="shared" si="169"/>
        <v>2008000</v>
      </c>
      <c r="D559" s="21">
        <f t="shared" si="168"/>
        <v>0</v>
      </c>
      <c r="E559" s="21">
        <v>0</v>
      </c>
      <c r="F559" s="21">
        <v>0</v>
      </c>
      <c r="G559" s="21">
        <v>0</v>
      </c>
      <c r="H559" s="21">
        <v>0</v>
      </c>
      <c r="I559" s="21">
        <v>0</v>
      </c>
      <c r="J559" s="21">
        <v>0</v>
      </c>
      <c r="K559" s="40">
        <v>0</v>
      </c>
      <c r="L559" s="21">
        <v>0</v>
      </c>
      <c r="M559" s="21">
        <v>360</v>
      </c>
      <c r="N559" s="21">
        <v>1908000</v>
      </c>
      <c r="O559" s="21">
        <v>0</v>
      </c>
      <c r="P559" s="21">
        <v>0</v>
      </c>
      <c r="Q559" s="21">
        <v>0</v>
      </c>
      <c r="R559" s="21">
        <v>0</v>
      </c>
      <c r="S559" s="21">
        <v>0</v>
      </c>
      <c r="T559" s="3">
        <v>0</v>
      </c>
      <c r="U559" s="21">
        <v>100000</v>
      </c>
    </row>
    <row r="560" spans="1:22" ht="21.95" customHeight="1">
      <c r="A560" s="19" t="s">
        <v>1458</v>
      </c>
      <c r="B560" s="24" t="s">
        <v>426</v>
      </c>
      <c r="C560" s="1">
        <f t="shared" si="169"/>
        <v>1764200</v>
      </c>
      <c r="D560" s="21">
        <f t="shared" si="168"/>
        <v>0</v>
      </c>
      <c r="E560" s="21">
        <v>0</v>
      </c>
      <c r="F560" s="21">
        <v>0</v>
      </c>
      <c r="G560" s="21">
        <v>0</v>
      </c>
      <c r="H560" s="21">
        <v>0</v>
      </c>
      <c r="I560" s="21">
        <v>0</v>
      </c>
      <c r="J560" s="21">
        <v>0</v>
      </c>
      <c r="K560" s="40">
        <v>0</v>
      </c>
      <c r="L560" s="21">
        <v>0</v>
      </c>
      <c r="M560" s="21">
        <v>314</v>
      </c>
      <c r="N560" s="21">
        <v>1664200</v>
      </c>
      <c r="O560" s="21">
        <v>0</v>
      </c>
      <c r="P560" s="21">
        <v>0</v>
      </c>
      <c r="Q560" s="21">
        <v>0</v>
      </c>
      <c r="R560" s="21">
        <v>0</v>
      </c>
      <c r="S560" s="21">
        <v>0</v>
      </c>
      <c r="T560" s="3">
        <v>0</v>
      </c>
      <c r="U560" s="21">
        <v>100000</v>
      </c>
    </row>
    <row r="561" spans="1:22" ht="21.95" customHeight="1">
      <c r="A561" s="19" t="s">
        <v>1459</v>
      </c>
      <c r="B561" s="24" t="s">
        <v>610</v>
      </c>
      <c r="C561" s="1">
        <f t="shared" si="169"/>
        <v>2808130</v>
      </c>
      <c r="D561" s="21">
        <f t="shared" si="168"/>
        <v>0</v>
      </c>
      <c r="E561" s="21">
        <v>0</v>
      </c>
      <c r="F561" s="21">
        <v>0</v>
      </c>
      <c r="G561" s="21">
        <v>0</v>
      </c>
      <c r="H561" s="21">
        <v>0</v>
      </c>
      <c r="I561" s="21">
        <v>0</v>
      </c>
      <c r="J561" s="21">
        <v>0</v>
      </c>
      <c r="K561" s="5">
        <v>0</v>
      </c>
      <c r="L561" s="3">
        <v>0</v>
      </c>
      <c r="M561" s="3">
        <v>492.1</v>
      </c>
      <c r="N561" s="3">
        <v>2608130</v>
      </c>
      <c r="O561" s="3">
        <v>0</v>
      </c>
      <c r="P561" s="3">
        <v>0</v>
      </c>
      <c r="Q561" s="3">
        <v>0</v>
      </c>
      <c r="R561" s="3">
        <v>0</v>
      </c>
      <c r="S561" s="3">
        <v>0</v>
      </c>
      <c r="T561" s="3">
        <v>0</v>
      </c>
      <c r="U561" s="3">
        <v>200000</v>
      </c>
      <c r="V561" s="13"/>
    </row>
    <row r="562" spans="1:22" ht="21.95" customHeight="1">
      <c r="A562" s="19" t="s">
        <v>1460</v>
      </c>
      <c r="B562" s="24" t="s">
        <v>531</v>
      </c>
      <c r="C562" s="1">
        <f t="shared" si="169"/>
        <v>1424300</v>
      </c>
      <c r="D562" s="21">
        <f t="shared" si="168"/>
        <v>0</v>
      </c>
      <c r="E562" s="21">
        <v>0</v>
      </c>
      <c r="F562" s="21">
        <v>0</v>
      </c>
      <c r="G562" s="21">
        <v>0</v>
      </c>
      <c r="H562" s="21">
        <v>0</v>
      </c>
      <c r="I562" s="21">
        <v>0</v>
      </c>
      <c r="J562" s="21">
        <v>0</v>
      </c>
      <c r="K562" s="5">
        <v>0</v>
      </c>
      <c r="L562" s="3">
        <v>0</v>
      </c>
      <c r="M562" s="3">
        <v>231</v>
      </c>
      <c r="N562" s="3">
        <v>1224300</v>
      </c>
      <c r="O562" s="3">
        <v>0</v>
      </c>
      <c r="P562" s="3">
        <v>0</v>
      </c>
      <c r="Q562" s="3">
        <v>0</v>
      </c>
      <c r="R562" s="3">
        <v>0</v>
      </c>
      <c r="S562" s="3">
        <v>0</v>
      </c>
      <c r="T562" s="3">
        <v>0</v>
      </c>
      <c r="U562" s="3">
        <v>200000</v>
      </c>
      <c r="V562" s="13"/>
    </row>
    <row r="563" spans="1:22" ht="21.95" customHeight="1">
      <c r="A563" s="19" t="s">
        <v>1461</v>
      </c>
      <c r="B563" s="24" t="s">
        <v>481</v>
      </c>
      <c r="C563" s="1">
        <f t="shared" si="169"/>
        <v>2224600</v>
      </c>
      <c r="D563" s="21">
        <f t="shared" si="168"/>
        <v>0</v>
      </c>
      <c r="E563" s="21">
        <v>0</v>
      </c>
      <c r="F563" s="21">
        <v>0</v>
      </c>
      <c r="G563" s="21">
        <v>0</v>
      </c>
      <c r="H563" s="21">
        <v>0</v>
      </c>
      <c r="I563" s="21">
        <v>0</v>
      </c>
      <c r="J563" s="21">
        <v>0</v>
      </c>
      <c r="K563" s="40">
        <v>0</v>
      </c>
      <c r="L563" s="21">
        <v>0</v>
      </c>
      <c r="M563" s="21">
        <v>382</v>
      </c>
      <c r="N563" s="21">
        <v>2024600</v>
      </c>
      <c r="O563" s="21">
        <v>0</v>
      </c>
      <c r="P563" s="21">
        <v>0</v>
      </c>
      <c r="Q563" s="21">
        <v>0</v>
      </c>
      <c r="R563" s="21">
        <v>0</v>
      </c>
      <c r="S563" s="21">
        <v>0</v>
      </c>
      <c r="T563" s="3">
        <v>0</v>
      </c>
      <c r="U563" s="21">
        <v>200000</v>
      </c>
    </row>
    <row r="564" spans="1:22" ht="21.95" customHeight="1">
      <c r="A564" s="19" t="s">
        <v>1462</v>
      </c>
      <c r="B564" s="24" t="s">
        <v>611</v>
      </c>
      <c r="C564" s="1">
        <f t="shared" si="169"/>
        <v>1752900</v>
      </c>
      <c r="D564" s="21">
        <f t="shared" si="168"/>
        <v>0</v>
      </c>
      <c r="E564" s="21">
        <v>0</v>
      </c>
      <c r="F564" s="21">
        <v>0</v>
      </c>
      <c r="G564" s="21">
        <v>0</v>
      </c>
      <c r="H564" s="21">
        <v>0</v>
      </c>
      <c r="I564" s="21">
        <v>0</v>
      </c>
      <c r="J564" s="21">
        <v>0</v>
      </c>
      <c r="K564" s="5">
        <v>0</v>
      </c>
      <c r="L564" s="3">
        <v>0</v>
      </c>
      <c r="M564" s="3">
        <v>293</v>
      </c>
      <c r="N564" s="3">
        <v>1552900</v>
      </c>
      <c r="O564" s="3">
        <v>0</v>
      </c>
      <c r="P564" s="3">
        <v>0</v>
      </c>
      <c r="Q564" s="3">
        <v>0</v>
      </c>
      <c r="R564" s="3">
        <v>0</v>
      </c>
      <c r="S564" s="3">
        <v>0</v>
      </c>
      <c r="T564" s="3">
        <v>0</v>
      </c>
      <c r="U564" s="3">
        <v>200000</v>
      </c>
      <c r="V564" s="13"/>
    </row>
    <row r="565" spans="1:22" ht="21.95" customHeight="1">
      <c r="A565" s="19" t="s">
        <v>1463</v>
      </c>
      <c r="B565" s="24" t="s">
        <v>612</v>
      </c>
      <c r="C565" s="1">
        <f t="shared" si="169"/>
        <v>1747600</v>
      </c>
      <c r="D565" s="21">
        <f t="shared" si="168"/>
        <v>0</v>
      </c>
      <c r="E565" s="21">
        <v>0</v>
      </c>
      <c r="F565" s="21">
        <v>0</v>
      </c>
      <c r="G565" s="21">
        <v>0</v>
      </c>
      <c r="H565" s="21">
        <v>0</v>
      </c>
      <c r="I565" s="21">
        <v>0</v>
      </c>
      <c r="J565" s="21">
        <v>0</v>
      </c>
      <c r="K565" s="5">
        <v>0</v>
      </c>
      <c r="L565" s="3">
        <v>0</v>
      </c>
      <c r="M565" s="3">
        <v>292</v>
      </c>
      <c r="N565" s="3">
        <v>1547600</v>
      </c>
      <c r="O565" s="3">
        <v>0</v>
      </c>
      <c r="P565" s="3">
        <v>0</v>
      </c>
      <c r="Q565" s="3">
        <v>0</v>
      </c>
      <c r="R565" s="3">
        <v>0</v>
      </c>
      <c r="S565" s="3">
        <v>0</v>
      </c>
      <c r="T565" s="3">
        <v>0</v>
      </c>
      <c r="U565" s="3">
        <v>200000</v>
      </c>
      <c r="V565" s="13"/>
    </row>
    <row r="566" spans="1:22" ht="21.95" customHeight="1">
      <c r="A566" s="19" t="s">
        <v>1464</v>
      </c>
      <c r="B566" s="24" t="s">
        <v>408</v>
      </c>
      <c r="C566" s="1">
        <f t="shared" si="169"/>
        <v>6660032.5</v>
      </c>
      <c r="D566" s="21">
        <f t="shared" si="168"/>
        <v>6460032.5</v>
      </c>
      <c r="E566" s="21">
        <f>350*[1]Прилож!$H$587</f>
        <v>962132.49999999988</v>
      </c>
      <c r="F566" s="21">
        <f>800*[1]Прилож!$H$587</f>
        <v>2199160</v>
      </c>
      <c r="G566" s="21">
        <f>300*[1]Прилож!$H$587</f>
        <v>824685</v>
      </c>
      <c r="H566" s="21">
        <f>500*[1]Прилож!$H$587</f>
        <v>1374475</v>
      </c>
      <c r="I566" s="21">
        <f>400*[1]Прилож!$H$587</f>
        <v>1099580</v>
      </c>
      <c r="J566" s="21">
        <f>350*0</f>
        <v>0</v>
      </c>
      <c r="K566" s="40">
        <v>0</v>
      </c>
      <c r="L566" s="21">
        <v>0</v>
      </c>
      <c r="M566" s="21">
        <v>0</v>
      </c>
      <c r="N566" s="21">
        <v>0</v>
      </c>
      <c r="O566" s="21">
        <v>0</v>
      </c>
      <c r="P566" s="21">
        <v>0</v>
      </c>
      <c r="Q566" s="21">
        <v>0</v>
      </c>
      <c r="R566" s="21">
        <v>0</v>
      </c>
      <c r="S566" s="21">
        <v>0</v>
      </c>
      <c r="T566" s="3">
        <v>0</v>
      </c>
      <c r="U566" s="21">
        <v>200000</v>
      </c>
    </row>
    <row r="567" spans="1:22" ht="21.95" customHeight="1">
      <c r="A567" s="19" t="s">
        <v>1465</v>
      </c>
      <c r="B567" s="24" t="s">
        <v>613</v>
      </c>
      <c r="C567" s="1">
        <f t="shared" si="169"/>
        <v>5702660</v>
      </c>
      <c r="D567" s="21">
        <f t="shared" si="168"/>
        <v>0</v>
      </c>
      <c r="E567" s="21">
        <v>0</v>
      </c>
      <c r="F567" s="21">
        <v>0</v>
      </c>
      <c r="G567" s="21">
        <v>0</v>
      </c>
      <c r="H567" s="21">
        <v>0</v>
      </c>
      <c r="I567" s="21">
        <v>0</v>
      </c>
      <c r="J567" s="21">
        <v>0</v>
      </c>
      <c r="K567" s="5">
        <v>0</v>
      </c>
      <c r="L567" s="3">
        <v>0</v>
      </c>
      <c r="M567" s="3">
        <v>635.20000000000005</v>
      </c>
      <c r="N567" s="3">
        <v>3366560</v>
      </c>
      <c r="O567" s="3">
        <v>0</v>
      </c>
      <c r="P567" s="3">
        <v>0</v>
      </c>
      <c r="Q567" s="3">
        <v>820</v>
      </c>
      <c r="R567" s="3">
        <v>2136100</v>
      </c>
      <c r="S567" s="3">
        <v>0</v>
      </c>
      <c r="T567" s="3">
        <v>0</v>
      </c>
      <c r="U567" s="3">
        <v>200000</v>
      </c>
      <c r="V567" s="13"/>
    </row>
    <row r="568" spans="1:22" ht="21.95" customHeight="1">
      <c r="A568" s="19" t="s">
        <v>1466</v>
      </c>
      <c r="B568" s="24" t="s">
        <v>614</v>
      </c>
      <c r="C568" s="1">
        <f t="shared" si="169"/>
        <v>1615100</v>
      </c>
      <c r="D568" s="21">
        <f t="shared" si="168"/>
        <v>0</v>
      </c>
      <c r="E568" s="21">
        <v>0</v>
      </c>
      <c r="F568" s="21">
        <v>0</v>
      </c>
      <c r="G568" s="21">
        <v>0</v>
      </c>
      <c r="H568" s="21">
        <v>0</v>
      </c>
      <c r="I568" s="21">
        <v>0</v>
      </c>
      <c r="J568" s="21">
        <v>0</v>
      </c>
      <c r="K568" s="5">
        <v>0</v>
      </c>
      <c r="L568" s="3">
        <v>0</v>
      </c>
      <c r="M568" s="3">
        <v>267</v>
      </c>
      <c r="N568" s="3">
        <v>1415100</v>
      </c>
      <c r="O568" s="3">
        <v>0</v>
      </c>
      <c r="P568" s="3">
        <v>0</v>
      </c>
      <c r="Q568" s="3">
        <v>0</v>
      </c>
      <c r="R568" s="3">
        <v>0</v>
      </c>
      <c r="S568" s="3">
        <v>0</v>
      </c>
      <c r="T568" s="3">
        <v>0</v>
      </c>
      <c r="U568" s="3">
        <v>200000</v>
      </c>
      <c r="V568" s="13"/>
    </row>
    <row r="569" spans="1:22" ht="21.95" customHeight="1">
      <c r="A569" s="19" t="s">
        <v>1467</v>
      </c>
      <c r="B569" s="30" t="s">
        <v>532</v>
      </c>
      <c r="C569" s="1">
        <f t="shared" si="169"/>
        <v>2279190</v>
      </c>
      <c r="D569" s="21">
        <f t="shared" si="168"/>
        <v>0</v>
      </c>
      <c r="E569" s="21">
        <v>0</v>
      </c>
      <c r="F569" s="21">
        <v>0</v>
      </c>
      <c r="G569" s="21">
        <v>0</v>
      </c>
      <c r="H569" s="21">
        <v>0</v>
      </c>
      <c r="I569" s="21">
        <v>0</v>
      </c>
      <c r="J569" s="21">
        <v>0</v>
      </c>
      <c r="K569" s="5">
        <v>0</v>
      </c>
      <c r="L569" s="3">
        <v>0</v>
      </c>
      <c r="M569" s="3">
        <v>392.3</v>
      </c>
      <c r="N569" s="3">
        <v>2079190</v>
      </c>
      <c r="O569" s="3">
        <v>0</v>
      </c>
      <c r="P569" s="3">
        <v>0</v>
      </c>
      <c r="Q569" s="3">
        <v>0</v>
      </c>
      <c r="R569" s="3">
        <v>0</v>
      </c>
      <c r="S569" s="3">
        <v>0</v>
      </c>
      <c r="T569" s="3">
        <v>0</v>
      </c>
      <c r="U569" s="3">
        <v>200000</v>
      </c>
      <c r="V569" s="13"/>
    </row>
    <row r="570" spans="1:22" ht="21.95" customHeight="1">
      <c r="A570" s="19" t="s">
        <v>1468</v>
      </c>
      <c r="B570" s="30" t="s">
        <v>533</v>
      </c>
      <c r="C570" s="1">
        <f t="shared" si="169"/>
        <v>2310990</v>
      </c>
      <c r="D570" s="21">
        <f t="shared" si="168"/>
        <v>0</v>
      </c>
      <c r="E570" s="21">
        <v>0</v>
      </c>
      <c r="F570" s="21">
        <v>0</v>
      </c>
      <c r="G570" s="21">
        <v>0</v>
      </c>
      <c r="H570" s="21">
        <v>0</v>
      </c>
      <c r="I570" s="21">
        <v>0</v>
      </c>
      <c r="J570" s="21">
        <v>0</v>
      </c>
      <c r="K570" s="5">
        <v>0</v>
      </c>
      <c r="L570" s="3">
        <v>0</v>
      </c>
      <c r="M570" s="3">
        <v>398.3</v>
      </c>
      <c r="N570" s="3">
        <v>2110990</v>
      </c>
      <c r="O570" s="3">
        <v>0</v>
      </c>
      <c r="P570" s="3">
        <v>0</v>
      </c>
      <c r="Q570" s="3">
        <v>0</v>
      </c>
      <c r="R570" s="3">
        <v>0</v>
      </c>
      <c r="S570" s="3">
        <v>0</v>
      </c>
      <c r="T570" s="3">
        <v>0</v>
      </c>
      <c r="U570" s="3">
        <v>200000</v>
      </c>
      <c r="V570" s="13"/>
    </row>
    <row r="571" spans="1:22" ht="21.95" customHeight="1">
      <c r="A571" s="19" t="s">
        <v>1469</v>
      </c>
      <c r="B571" s="30" t="s">
        <v>534</v>
      </c>
      <c r="C571" s="1">
        <f t="shared" si="169"/>
        <v>2297740</v>
      </c>
      <c r="D571" s="21">
        <f t="shared" si="168"/>
        <v>0</v>
      </c>
      <c r="E571" s="21">
        <v>0</v>
      </c>
      <c r="F571" s="21">
        <v>0</v>
      </c>
      <c r="G571" s="21">
        <v>0</v>
      </c>
      <c r="H571" s="21">
        <v>0</v>
      </c>
      <c r="I571" s="21">
        <v>0</v>
      </c>
      <c r="J571" s="21">
        <v>0</v>
      </c>
      <c r="K571" s="5">
        <v>0</v>
      </c>
      <c r="L571" s="3">
        <v>0</v>
      </c>
      <c r="M571" s="3">
        <v>395.8</v>
      </c>
      <c r="N571" s="3">
        <v>2097740</v>
      </c>
      <c r="O571" s="3">
        <v>0</v>
      </c>
      <c r="P571" s="3">
        <v>0</v>
      </c>
      <c r="Q571" s="3">
        <v>0</v>
      </c>
      <c r="R571" s="3">
        <v>0</v>
      </c>
      <c r="S571" s="3">
        <v>0</v>
      </c>
      <c r="T571" s="3">
        <v>0</v>
      </c>
      <c r="U571" s="3">
        <v>200000</v>
      </c>
      <c r="V571" s="13"/>
    </row>
    <row r="572" spans="1:22" ht="21.95" customHeight="1">
      <c r="A572" s="19" t="s">
        <v>1470</v>
      </c>
      <c r="B572" s="30" t="s">
        <v>535</v>
      </c>
      <c r="C572" s="1">
        <f t="shared" si="169"/>
        <v>2300390</v>
      </c>
      <c r="D572" s="21">
        <f t="shared" si="168"/>
        <v>0</v>
      </c>
      <c r="E572" s="21">
        <v>0</v>
      </c>
      <c r="F572" s="21">
        <v>0</v>
      </c>
      <c r="G572" s="21">
        <v>0</v>
      </c>
      <c r="H572" s="21">
        <v>0</v>
      </c>
      <c r="I572" s="21">
        <v>0</v>
      </c>
      <c r="J572" s="21">
        <v>0</v>
      </c>
      <c r="K572" s="5">
        <v>0</v>
      </c>
      <c r="L572" s="3">
        <v>0</v>
      </c>
      <c r="M572" s="3">
        <v>396.3</v>
      </c>
      <c r="N572" s="3">
        <v>2100390</v>
      </c>
      <c r="O572" s="3">
        <v>0</v>
      </c>
      <c r="P572" s="3">
        <v>0</v>
      </c>
      <c r="Q572" s="3">
        <v>0</v>
      </c>
      <c r="R572" s="3">
        <v>0</v>
      </c>
      <c r="S572" s="3">
        <v>0</v>
      </c>
      <c r="T572" s="3">
        <v>0</v>
      </c>
      <c r="U572" s="3">
        <v>200000</v>
      </c>
      <c r="V572" s="13"/>
    </row>
    <row r="573" spans="1:22" ht="21.95" customHeight="1">
      <c r="A573" s="19" t="s">
        <v>1471</v>
      </c>
      <c r="B573" s="30" t="s">
        <v>536</v>
      </c>
      <c r="C573" s="1">
        <f t="shared" si="169"/>
        <v>2325830</v>
      </c>
      <c r="D573" s="21">
        <f t="shared" si="168"/>
        <v>0</v>
      </c>
      <c r="E573" s="21">
        <v>0</v>
      </c>
      <c r="F573" s="21">
        <v>0</v>
      </c>
      <c r="G573" s="21">
        <v>0</v>
      </c>
      <c r="H573" s="21">
        <v>0</v>
      </c>
      <c r="I573" s="21">
        <v>0</v>
      </c>
      <c r="J573" s="21">
        <v>0</v>
      </c>
      <c r="K573" s="5">
        <v>0</v>
      </c>
      <c r="L573" s="3">
        <v>0</v>
      </c>
      <c r="M573" s="3">
        <v>401.1</v>
      </c>
      <c r="N573" s="3">
        <v>2125830</v>
      </c>
      <c r="O573" s="3">
        <v>0</v>
      </c>
      <c r="P573" s="3">
        <v>0</v>
      </c>
      <c r="Q573" s="3">
        <v>0</v>
      </c>
      <c r="R573" s="3">
        <v>0</v>
      </c>
      <c r="S573" s="3">
        <v>0</v>
      </c>
      <c r="T573" s="3">
        <v>0</v>
      </c>
      <c r="U573" s="3">
        <v>200000</v>
      </c>
      <c r="V573" s="13"/>
    </row>
    <row r="574" spans="1:22" ht="21.95" customHeight="1">
      <c r="A574" s="19" t="s">
        <v>1472</v>
      </c>
      <c r="B574" s="30" t="s">
        <v>537</v>
      </c>
      <c r="C574" s="1">
        <f t="shared" si="169"/>
        <v>2357100</v>
      </c>
      <c r="D574" s="21">
        <f t="shared" si="168"/>
        <v>0</v>
      </c>
      <c r="E574" s="21">
        <v>0</v>
      </c>
      <c r="F574" s="21">
        <v>0</v>
      </c>
      <c r="G574" s="21">
        <v>0</v>
      </c>
      <c r="H574" s="21">
        <v>0</v>
      </c>
      <c r="I574" s="21">
        <v>0</v>
      </c>
      <c r="J574" s="21">
        <v>0</v>
      </c>
      <c r="K574" s="5">
        <v>0</v>
      </c>
      <c r="L574" s="3">
        <v>0</v>
      </c>
      <c r="M574" s="3">
        <v>407</v>
      </c>
      <c r="N574" s="3">
        <v>2157100</v>
      </c>
      <c r="O574" s="3">
        <v>0</v>
      </c>
      <c r="P574" s="3">
        <v>0</v>
      </c>
      <c r="Q574" s="3">
        <v>0</v>
      </c>
      <c r="R574" s="3">
        <v>0</v>
      </c>
      <c r="S574" s="3">
        <v>0</v>
      </c>
      <c r="T574" s="3">
        <v>0</v>
      </c>
      <c r="U574" s="3">
        <v>200000</v>
      </c>
      <c r="V574" s="13"/>
    </row>
    <row r="575" spans="1:22" ht="21.95" customHeight="1">
      <c r="A575" s="19" t="s">
        <v>1473</v>
      </c>
      <c r="B575" s="30" t="s">
        <v>538</v>
      </c>
      <c r="C575" s="1">
        <f t="shared" si="169"/>
        <v>2342790</v>
      </c>
      <c r="D575" s="21">
        <f t="shared" si="168"/>
        <v>0</v>
      </c>
      <c r="E575" s="21">
        <v>0</v>
      </c>
      <c r="F575" s="21">
        <v>0</v>
      </c>
      <c r="G575" s="21">
        <v>0</v>
      </c>
      <c r="H575" s="21">
        <v>0</v>
      </c>
      <c r="I575" s="21">
        <v>0</v>
      </c>
      <c r="J575" s="21">
        <v>0</v>
      </c>
      <c r="K575" s="5">
        <v>0</v>
      </c>
      <c r="L575" s="3">
        <v>0</v>
      </c>
      <c r="M575" s="3">
        <v>404.3</v>
      </c>
      <c r="N575" s="3">
        <v>2142790</v>
      </c>
      <c r="O575" s="3">
        <v>0</v>
      </c>
      <c r="P575" s="3">
        <v>0</v>
      </c>
      <c r="Q575" s="3">
        <v>0</v>
      </c>
      <c r="R575" s="3">
        <v>0</v>
      </c>
      <c r="S575" s="3">
        <v>0</v>
      </c>
      <c r="T575" s="3">
        <v>0</v>
      </c>
      <c r="U575" s="3">
        <v>200000</v>
      </c>
      <c r="V575" s="13"/>
    </row>
    <row r="576" spans="1:22" ht="21.95" customHeight="1">
      <c r="A576" s="19" t="s">
        <v>1474</v>
      </c>
      <c r="B576" s="30" t="s">
        <v>539</v>
      </c>
      <c r="C576" s="1">
        <f t="shared" si="169"/>
        <v>2340140</v>
      </c>
      <c r="D576" s="21">
        <f t="shared" si="168"/>
        <v>0</v>
      </c>
      <c r="E576" s="21">
        <v>0</v>
      </c>
      <c r="F576" s="21">
        <v>0</v>
      </c>
      <c r="G576" s="21">
        <v>0</v>
      </c>
      <c r="H576" s="21">
        <v>0</v>
      </c>
      <c r="I576" s="21">
        <v>0</v>
      </c>
      <c r="J576" s="21">
        <v>0</v>
      </c>
      <c r="K576" s="5">
        <v>0</v>
      </c>
      <c r="L576" s="3">
        <v>0</v>
      </c>
      <c r="M576" s="3">
        <v>403.8</v>
      </c>
      <c r="N576" s="3">
        <v>2140140</v>
      </c>
      <c r="O576" s="3">
        <v>0</v>
      </c>
      <c r="P576" s="3">
        <v>0</v>
      </c>
      <c r="Q576" s="3">
        <v>0</v>
      </c>
      <c r="R576" s="3">
        <v>0</v>
      </c>
      <c r="S576" s="3">
        <v>0</v>
      </c>
      <c r="T576" s="3">
        <v>0</v>
      </c>
      <c r="U576" s="3">
        <v>200000</v>
      </c>
      <c r="V576" s="13"/>
    </row>
    <row r="577" spans="1:22" ht="21.95" customHeight="1">
      <c r="A577" s="19" t="s">
        <v>1475</v>
      </c>
      <c r="B577" s="30" t="s">
        <v>540</v>
      </c>
      <c r="C577" s="1">
        <f t="shared" si="169"/>
        <v>2340140</v>
      </c>
      <c r="D577" s="21">
        <f t="shared" si="168"/>
        <v>0</v>
      </c>
      <c r="E577" s="21">
        <v>0</v>
      </c>
      <c r="F577" s="21">
        <v>0</v>
      </c>
      <c r="G577" s="21">
        <v>0</v>
      </c>
      <c r="H577" s="21">
        <v>0</v>
      </c>
      <c r="I577" s="21">
        <v>0</v>
      </c>
      <c r="J577" s="21">
        <v>0</v>
      </c>
      <c r="K577" s="5">
        <v>0</v>
      </c>
      <c r="L577" s="3">
        <v>0</v>
      </c>
      <c r="M577" s="3">
        <v>403.8</v>
      </c>
      <c r="N577" s="3">
        <v>2140140</v>
      </c>
      <c r="O577" s="3">
        <v>0</v>
      </c>
      <c r="P577" s="3">
        <v>0</v>
      </c>
      <c r="Q577" s="3">
        <v>0</v>
      </c>
      <c r="R577" s="3">
        <v>0</v>
      </c>
      <c r="S577" s="3">
        <v>0</v>
      </c>
      <c r="T577" s="3">
        <v>0</v>
      </c>
      <c r="U577" s="3">
        <v>200000</v>
      </c>
      <c r="V577" s="13"/>
    </row>
    <row r="578" spans="1:22" ht="21.95" customHeight="1">
      <c r="A578" s="19" t="s">
        <v>1476</v>
      </c>
      <c r="B578" s="30" t="s">
        <v>615</v>
      </c>
      <c r="C578" s="1">
        <f t="shared" si="169"/>
        <v>2356040</v>
      </c>
      <c r="D578" s="21">
        <f t="shared" si="168"/>
        <v>0</v>
      </c>
      <c r="E578" s="21">
        <v>0</v>
      </c>
      <c r="F578" s="21">
        <v>0</v>
      </c>
      <c r="G578" s="21">
        <v>0</v>
      </c>
      <c r="H578" s="21">
        <v>0</v>
      </c>
      <c r="I578" s="21">
        <v>0</v>
      </c>
      <c r="J578" s="21">
        <v>0</v>
      </c>
      <c r="K578" s="5">
        <v>0</v>
      </c>
      <c r="L578" s="3">
        <v>0</v>
      </c>
      <c r="M578" s="3">
        <v>406.8</v>
      </c>
      <c r="N578" s="3">
        <v>2156040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200000</v>
      </c>
      <c r="V578" s="13"/>
    </row>
    <row r="579" spans="1:22" ht="21.95" customHeight="1">
      <c r="A579" s="19" t="s">
        <v>1477</v>
      </c>
      <c r="B579" s="30" t="s">
        <v>616</v>
      </c>
      <c r="C579" s="1">
        <f t="shared" si="169"/>
        <v>2271770</v>
      </c>
      <c r="D579" s="21">
        <f t="shared" si="168"/>
        <v>0</v>
      </c>
      <c r="E579" s="21">
        <v>0</v>
      </c>
      <c r="F579" s="21">
        <v>0</v>
      </c>
      <c r="G579" s="21">
        <v>0</v>
      </c>
      <c r="H579" s="21">
        <v>0</v>
      </c>
      <c r="I579" s="21">
        <v>0</v>
      </c>
      <c r="J579" s="21">
        <v>0</v>
      </c>
      <c r="K579" s="5">
        <v>0</v>
      </c>
      <c r="L579" s="3">
        <v>0</v>
      </c>
      <c r="M579" s="3">
        <v>390.9</v>
      </c>
      <c r="N579" s="3">
        <v>2071770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200000</v>
      </c>
      <c r="V579" s="13"/>
    </row>
    <row r="580" spans="1:22" ht="21.95" customHeight="1">
      <c r="A580" s="19" t="s">
        <v>1478</v>
      </c>
      <c r="B580" s="30" t="s">
        <v>617</v>
      </c>
      <c r="C580" s="1">
        <f t="shared" si="169"/>
        <v>2361340</v>
      </c>
      <c r="D580" s="21">
        <f t="shared" ref="D580:D643" si="170">SUM(E580:J580)</f>
        <v>0</v>
      </c>
      <c r="E580" s="21">
        <v>0</v>
      </c>
      <c r="F580" s="21">
        <v>0</v>
      </c>
      <c r="G580" s="21">
        <v>0</v>
      </c>
      <c r="H580" s="21">
        <v>0</v>
      </c>
      <c r="I580" s="21">
        <v>0</v>
      </c>
      <c r="J580" s="21">
        <v>0</v>
      </c>
      <c r="K580" s="5">
        <v>0</v>
      </c>
      <c r="L580" s="3">
        <v>0</v>
      </c>
      <c r="M580" s="3">
        <v>407.8</v>
      </c>
      <c r="N580" s="3">
        <v>2161340</v>
      </c>
      <c r="O580" s="3">
        <v>0</v>
      </c>
      <c r="P580" s="3">
        <v>0</v>
      </c>
      <c r="Q580" s="3">
        <v>0</v>
      </c>
      <c r="R580" s="3">
        <v>0</v>
      </c>
      <c r="S580" s="3">
        <v>0</v>
      </c>
      <c r="T580" s="3">
        <v>0</v>
      </c>
      <c r="U580" s="3">
        <v>200000</v>
      </c>
      <c r="V580" s="13"/>
    </row>
    <row r="581" spans="1:22" ht="21.95" customHeight="1">
      <c r="A581" s="19" t="s">
        <v>1951</v>
      </c>
      <c r="B581" s="30" t="s">
        <v>618</v>
      </c>
      <c r="C581" s="1">
        <f t="shared" si="169"/>
        <v>2373000</v>
      </c>
      <c r="D581" s="21">
        <f t="shared" si="170"/>
        <v>0</v>
      </c>
      <c r="E581" s="21">
        <v>0</v>
      </c>
      <c r="F581" s="21">
        <v>0</v>
      </c>
      <c r="G581" s="21">
        <v>0</v>
      </c>
      <c r="H581" s="21">
        <v>0</v>
      </c>
      <c r="I581" s="21">
        <v>0</v>
      </c>
      <c r="J581" s="21">
        <v>0</v>
      </c>
      <c r="K581" s="5">
        <v>0</v>
      </c>
      <c r="L581" s="3">
        <v>0</v>
      </c>
      <c r="M581" s="3">
        <v>410</v>
      </c>
      <c r="N581" s="3">
        <v>2173000</v>
      </c>
      <c r="O581" s="3">
        <v>0</v>
      </c>
      <c r="P581" s="3">
        <v>0</v>
      </c>
      <c r="Q581" s="3">
        <v>0</v>
      </c>
      <c r="R581" s="3">
        <v>0</v>
      </c>
      <c r="S581" s="3">
        <v>0</v>
      </c>
      <c r="T581" s="3">
        <v>0</v>
      </c>
      <c r="U581" s="3">
        <v>200000</v>
      </c>
      <c r="V581" s="13"/>
    </row>
    <row r="582" spans="1:22" ht="21.95" customHeight="1">
      <c r="A582" s="19" t="s">
        <v>1479</v>
      </c>
      <c r="B582" s="24" t="s">
        <v>619</v>
      </c>
      <c r="C582" s="1">
        <f t="shared" si="169"/>
        <v>2346500</v>
      </c>
      <c r="D582" s="21">
        <f t="shared" si="170"/>
        <v>0</v>
      </c>
      <c r="E582" s="21">
        <v>0</v>
      </c>
      <c r="F582" s="21">
        <v>0</v>
      </c>
      <c r="G582" s="21">
        <v>0</v>
      </c>
      <c r="H582" s="21">
        <v>0</v>
      </c>
      <c r="I582" s="21">
        <v>0</v>
      </c>
      <c r="J582" s="21">
        <v>0</v>
      </c>
      <c r="K582" s="5">
        <v>0</v>
      </c>
      <c r="L582" s="3">
        <v>0</v>
      </c>
      <c r="M582" s="3">
        <v>405</v>
      </c>
      <c r="N582" s="3">
        <v>2146500</v>
      </c>
      <c r="O582" s="3">
        <v>0</v>
      </c>
      <c r="P582" s="3">
        <v>0</v>
      </c>
      <c r="Q582" s="3">
        <v>0</v>
      </c>
      <c r="R582" s="3">
        <v>0</v>
      </c>
      <c r="S582" s="3">
        <v>0</v>
      </c>
      <c r="T582" s="3">
        <v>0</v>
      </c>
      <c r="U582" s="3">
        <v>200000</v>
      </c>
      <c r="V582" s="13"/>
    </row>
    <row r="583" spans="1:22" ht="21.95" customHeight="1">
      <c r="A583" s="19" t="s">
        <v>1480</v>
      </c>
      <c r="B583" s="30" t="s">
        <v>807</v>
      </c>
      <c r="C583" s="1">
        <f t="shared" si="169"/>
        <v>6395976</v>
      </c>
      <c r="D583" s="21">
        <f t="shared" si="170"/>
        <v>1519886</v>
      </c>
      <c r="E583" s="21">
        <f>350*[1]Прилож!$H$624</f>
        <v>226366</v>
      </c>
      <c r="F583" s="21">
        <f>800*[1]Прилож!$H$624</f>
        <v>517408</v>
      </c>
      <c r="G583" s="21">
        <f>300*[1]Прилож!$H$624</f>
        <v>194028</v>
      </c>
      <c r="H583" s="21">
        <f>500*[1]Прилож!$H$624</f>
        <v>323380</v>
      </c>
      <c r="I583" s="21">
        <f>400*[1]Прилож!$H$624</f>
        <v>258704</v>
      </c>
      <c r="J583" s="21">
        <f>350*0</f>
        <v>0</v>
      </c>
      <c r="K583" s="40">
        <v>0</v>
      </c>
      <c r="L583" s="21">
        <v>0</v>
      </c>
      <c r="M583" s="21">
        <v>551.29999999999995</v>
      </c>
      <c r="N583" s="3">
        <v>2921890</v>
      </c>
      <c r="O583" s="21">
        <v>0</v>
      </c>
      <c r="P583" s="21">
        <v>0</v>
      </c>
      <c r="Q583" s="3">
        <v>700</v>
      </c>
      <c r="R583" s="3">
        <f>2506*Q583</f>
        <v>1754200</v>
      </c>
      <c r="S583" s="21">
        <v>0</v>
      </c>
      <c r="T583" s="3">
        <v>0</v>
      </c>
      <c r="U583" s="21">
        <v>200000</v>
      </c>
    </row>
    <row r="584" spans="1:22" ht="21.95" customHeight="1">
      <c r="A584" s="19" t="s">
        <v>1952</v>
      </c>
      <c r="B584" s="30" t="s">
        <v>541</v>
      </c>
      <c r="C584" s="1">
        <f t="shared" si="169"/>
        <v>3502430</v>
      </c>
      <c r="D584" s="21">
        <f t="shared" si="170"/>
        <v>0</v>
      </c>
      <c r="E584" s="21">
        <v>0</v>
      </c>
      <c r="F584" s="21">
        <v>0</v>
      </c>
      <c r="G584" s="21">
        <v>0</v>
      </c>
      <c r="H584" s="21">
        <v>0</v>
      </c>
      <c r="I584" s="21">
        <v>0</v>
      </c>
      <c r="J584" s="21">
        <v>0</v>
      </c>
      <c r="K584" s="5">
        <v>0</v>
      </c>
      <c r="L584" s="3">
        <v>0</v>
      </c>
      <c r="M584" s="3">
        <v>623.1</v>
      </c>
      <c r="N584" s="3">
        <v>3302430</v>
      </c>
      <c r="O584" s="3">
        <v>0</v>
      </c>
      <c r="P584" s="3">
        <v>0</v>
      </c>
      <c r="Q584" s="3">
        <v>0</v>
      </c>
      <c r="R584" s="3">
        <v>0</v>
      </c>
      <c r="S584" s="3">
        <v>0</v>
      </c>
      <c r="T584" s="3">
        <v>0</v>
      </c>
      <c r="U584" s="3">
        <v>200000</v>
      </c>
      <c r="V584" s="13"/>
    </row>
    <row r="585" spans="1:22" ht="21.95" customHeight="1">
      <c r="A585" s="19" t="s">
        <v>1481</v>
      </c>
      <c r="B585" s="24" t="s">
        <v>620</v>
      </c>
      <c r="C585" s="1">
        <f t="shared" si="169"/>
        <v>2448340</v>
      </c>
      <c r="D585" s="21">
        <f t="shared" si="170"/>
        <v>0</v>
      </c>
      <c r="E585" s="21">
        <v>0</v>
      </c>
      <c r="F585" s="21">
        <v>0</v>
      </c>
      <c r="G585" s="21">
        <v>0</v>
      </c>
      <c r="H585" s="21">
        <v>0</v>
      </c>
      <c r="I585" s="21">
        <v>0</v>
      </c>
      <c r="J585" s="21">
        <v>0</v>
      </c>
      <c r="K585" s="5">
        <v>0</v>
      </c>
      <c r="L585" s="3">
        <v>0</v>
      </c>
      <c r="M585" s="3">
        <v>263</v>
      </c>
      <c r="N585" s="3">
        <v>1393900</v>
      </c>
      <c r="O585" s="3">
        <v>0</v>
      </c>
      <c r="P585" s="3">
        <v>0</v>
      </c>
      <c r="Q585" s="3">
        <v>328</v>
      </c>
      <c r="R585" s="3">
        <v>854440</v>
      </c>
      <c r="S585" s="3">
        <v>0</v>
      </c>
      <c r="T585" s="3">
        <v>0</v>
      </c>
      <c r="U585" s="3">
        <v>200000</v>
      </c>
      <c r="V585" s="13"/>
    </row>
    <row r="586" spans="1:22" ht="21.95" customHeight="1">
      <c r="A586" s="19" t="s">
        <v>1482</v>
      </c>
      <c r="B586" s="24" t="s">
        <v>542</v>
      </c>
      <c r="C586" s="1">
        <f t="shared" si="169"/>
        <v>2841520</v>
      </c>
      <c r="D586" s="21">
        <f t="shared" si="170"/>
        <v>0</v>
      </c>
      <c r="E586" s="21">
        <v>0</v>
      </c>
      <c r="F586" s="21">
        <v>0</v>
      </c>
      <c r="G586" s="21">
        <v>0</v>
      </c>
      <c r="H586" s="21">
        <v>0</v>
      </c>
      <c r="I586" s="21">
        <v>0</v>
      </c>
      <c r="J586" s="21">
        <v>0</v>
      </c>
      <c r="K586" s="5">
        <v>0</v>
      </c>
      <c r="L586" s="3">
        <v>0</v>
      </c>
      <c r="M586" s="3">
        <v>498.4</v>
      </c>
      <c r="N586" s="3">
        <v>2641520</v>
      </c>
      <c r="O586" s="3">
        <v>0</v>
      </c>
      <c r="P586" s="3">
        <v>0</v>
      </c>
      <c r="Q586" s="3">
        <v>0</v>
      </c>
      <c r="R586" s="3">
        <v>0</v>
      </c>
      <c r="S586" s="3">
        <v>0</v>
      </c>
      <c r="T586" s="3">
        <v>0</v>
      </c>
      <c r="U586" s="3">
        <v>200000</v>
      </c>
      <c r="V586" s="13"/>
    </row>
    <row r="587" spans="1:22" ht="21.95" customHeight="1">
      <c r="A587" s="19" t="s">
        <v>1483</v>
      </c>
      <c r="B587" s="24" t="s">
        <v>543</v>
      </c>
      <c r="C587" s="1">
        <f t="shared" si="169"/>
        <v>3793400</v>
      </c>
      <c r="D587" s="21">
        <f t="shared" si="170"/>
        <v>0</v>
      </c>
      <c r="E587" s="21">
        <v>0</v>
      </c>
      <c r="F587" s="21">
        <v>0</v>
      </c>
      <c r="G587" s="21">
        <v>0</v>
      </c>
      <c r="H587" s="21">
        <v>0</v>
      </c>
      <c r="I587" s="21">
        <v>0</v>
      </c>
      <c r="J587" s="21">
        <v>0</v>
      </c>
      <c r="K587" s="5">
        <v>0</v>
      </c>
      <c r="L587" s="3">
        <v>0</v>
      </c>
      <c r="M587" s="3">
        <v>678</v>
      </c>
      <c r="N587" s="3">
        <v>3593400</v>
      </c>
      <c r="O587" s="3">
        <v>0</v>
      </c>
      <c r="P587" s="3">
        <v>0</v>
      </c>
      <c r="Q587" s="3">
        <v>0</v>
      </c>
      <c r="R587" s="3">
        <v>0</v>
      </c>
      <c r="S587" s="3">
        <v>0</v>
      </c>
      <c r="T587" s="3">
        <v>0</v>
      </c>
      <c r="U587" s="3">
        <v>200000</v>
      </c>
      <c r="V587" s="13"/>
    </row>
    <row r="588" spans="1:22" ht="21.95" customHeight="1">
      <c r="A588" s="19" t="s">
        <v>1484</v>
      </c>
      <c r="B588" s="24" t="s">
        <v>544</v>
      </c>
      <c r="C588" s="1">
        <f t="shared" si="169"/>
        <v>2844700</v>
      </c>
      <c r="D588" s="21">
        <f t="shared" si="170"/>
        <v>0</v>
      </c>
      <c r="E588" s="21">
        <v>0</v>
      </c>
      <c r="F588" s="21">
        <v>0</v>
      </c>
      <c r="G588" s="21">
        <v>0</v>
      </c>
      <c r="H588" s="21">
        <v>0</v>
      </c>
      <c r="I588" s="21">
        <v>0</v>
      </c>
      <c r="J588" s="21">
        <v>0</v>
      </c>
      <c r="K588" s="5">
        <v>0</v>
      </c>
      <c r="L588" s="3">
        <v>0</v>
      </c>
      <c r="M588" s="3">
        <v>499</v>
      </c>
      <c r="N588" s="3">
        <v>2644700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200000</v>
      </c>
      <c r="V588" s="13"/>
    </row>
    <row r="589" spans="1:22" ht="21.95" customHeight="1">
      <c r="A589" s="52" t="s">
        <v>1485</v>
      </c>
      <c r="B589" s="24" t="s">
        <v>545</v>
      </c>
      <c r="C589" s="1">
        <f t="shared" si="169"/>
        <v>2702660</v>
      </c>
      <c r="D589" s="21">
        <f t="shared" si="170"/>
        <v>0</v>
      </c>
      <c r="E589" s="21">
        <v>0</v>
      </c>
      <c r="F589" s="21">
        <v>0</v>
      </c>
      <c r="G589" s="21">
        <v>0</v>
      </c>
      <c r="H589" s="21">
        <v>0</v>
      </c>
      <c r="I589" s="21">
        <v>0</v>
      </c>
      <c r="J589" s="21">
        <v>0</v>
      </c>
      <c r="K589" s="5">
        <v>0</v>
      </c>
      <c r="L589" s="3">
        <v>0</v>
      </c>
      <c r="M589" s="3">
        <v>472.2</v>
      </c>
      <c r="N589" s="3">
        <v>2502660</v>
      </c>
      <c r="O589" s="3">
        <v>0</v>
      </c>
      <c r="P589" s="3">
        <v>0</v>
      </c>
      <c r="Q589" s="3">
        <v>0</v>
      </c>
      <c r="R589" s="3">
        <v>0</v>
      </c>
      <c r="S589" s="3">
        <v>0</v>
      </c>
      <c r="T589" s="3">
        <v>0</v>
      </c>
      <c r="U589" s="3">
        <v>200000</v>
      </c>
      <c r="V589" s="13"/>
    </row>
    <row r="590" spans="1:22" ht="21.95" customHeight="1">
      <c r="A590" s="52" t="s">
        <v>1486</v>
      </c>
      <c r="B590" s="24" t="s">
        <v>483</v>
      </c>
      <c r="C590" s="1">
        <f t="shared" si="169"/>
        <v>2602660</v>
      </c>
      <c r="D590" s="21">
        <f t="shared" si="170"/>
        <v>0</v>
      </c>
      <c r="E590" s="21">
        <v>0</v>
      </c>
      <c r="F590" s="21">
        <v>0</v>
      </c>
      <c r="G590" s="21">
        <v>0</v>
      </c>
      <c r="H590" s="21">
        <v>0</v>
      </c>
      <c r="I590" s="21">
        <v>0</v>
      </c>
      <c r="J590" s="21">
        <v>0</v>
      </c>
      <c r="K590" s="40">
        <v>0</v>
      </c>
      <c r="L590" s="21">
        <v>0</v>
      </c>
      <c r="M590" s="21">
        <v>472.2</v>
      </c>
      <c r="N590" s="21">
        <v>2502660</v>
      </c>
      <c r="O590" s="21">
        <v>0</v>
      </c>
      <c r="P590" s="21">
        <v>0</v>
      </c>
      <c r="Q590" s="21">
        <v>0</v>
      </c>
      <c r="R590" s="21">
        <v>0</v>
      </c>
      <c r="S590" s="21">
        <v>0</v>
      </c>
      <c r="T590" s="3">
        <v>0</v>
      </c>
      <c r="U590" s="21">
        <v>100000</v>
      </c>
    </row>
    <row r="591" spans="1:22" ht="21.95" customHeight="1">
      <c r="A591" s="52" t="s">
        <v>1487</v>
      </c>
      <c r="B591" s="24" t="s">
        <v>484</v>
      </c>
      <c r="C591" s="1">
        <f t="shared" si="169"/>
        <v>2602660</v>
      </c>
      <c r="D591" s="21">
        <f t="shared" si="170"/>
        <v>0</v>
      </c>
      <c r="E591" s="21">
        <v>0</v>
      </c>
      <c r="F591" s="21">
        <v>0</v>
      </c>
      <c r="G591" s="21">
        <v>0</v>
      </c>
      <c r="H591" s="21">
        <v>0</v>
      </c>
      <c r="I591" s="21">
        <v>0</v>
      </c>
      <c r="J591" s="21">
        <v>0</v>
      </c>
      <c r="K591" s="40">
        <v>0</v>
      </c>
      <c r="L591" s="21">
        <v>0</v>
      </c>
      <c r="M591" s="21">
        <v>472.2</v>
      </c>
      <c r="N591" s="21">
        <v>2502660</v>
      </c>
      <c r="O591" s="21">
        <v>0</v>
      </c>
      <c r="P591" s="21">
        <v>0</v>
      </c>
      <c r="Q591" s="21">
        <v>0</v>
      </c>
      <c r="R591" s="21">
        <v>0</v>
      </c>
      <c r="S591" s="21">
        <v>0</v>
      </c>
      <c r="T591" s="3">
        <v>0</v>
      </c>
      <c r="U591" s="21">
        <v>100000</v>
      </c>
    </row>
    <row r="592" spans="1:22" ht="21.95" customHeight="1">
      <c r="A592" s="52" t="s">
        <v>1488</v>
      </c>
      <c r="B592" s="24" t="s">
        <v>546</v>
      </c>
      <c r="C592" s="1">
        <f t="shared" si="169"/>
        <v>3259690</v>
      </c>
      <c r="D592" s="21">
        <f t="shared" si="170"/>
        <v>0</v>
      </c>
      <c r="E592" s="21">
        <v>0</v>
      </c>
      <c r="F592" s="21">
        <v>0</v>
      </c>
      <c r="G592" s="21">
        <v>0</v>
      </c>
      <c r="H592" s="21">
        <v>0</v>
      </c>
      <c r="I592" s="21">
        <v>0</v>
      </c>
      <c r="J592" s="21">
        <v>0</v>
      </c>
      <c r="K592" s="5">
        <v>0</v>
      </c>
      <c r="L592" s="3">
        <v>0</v>
      </c>
      <c r="M592" s="3">
        <v>577.29999999999995</v>
      </c>
      <c r="N592" s="3">
        <v>3059690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200000</v>
      </c>
      <c r="V592" s="13"/>
    </row>
    <row r="593" spans="1:22" ht="21.95" customHeight="1">
      <c r="A593" s="52" t="s">
        <v>1489</v>
      </c>
      <c r="B593" s="24" t="s">
        <v>547</v>
      </c>
      <c r="C593" s="1">
        <f t="shared" si="169"/>
        <v>3259690</v>
      </c>
      <c r="D593" s="21">
        <f t="shared" si="170"/>
        <v>0</v>
      </c>
      <c r="E593" s="21">
        <v>0</v>
      </c>
      <c r="F593" s="21">
        <v>0</v>
      </c>
      <c r="G593" s="21">
        <v>0</v>
      </c>
      <c r="H593" s="21">
        <v>0</v>
      </c>
      <c r="I593" s="21">
        <v>0</v>
      </c>
      <c r="J593" s="21">
        <v>0</v>
      </c>
      <c r="K593" s="5">
        <v>0</v>
      </c>
      <c r="L593" s="3">
        <v>0</v>
      </c>
      <c r="M593" s="3">
        <v>577.29999999999995</v>
      </c>
      <c r="N593" s="3">
        <v>3059690</v>
      </c>
      <c r="O593" s="3">
        <v>0</v>
      </c>
      <c r="P593" s="3">
        <v>0</v>
      </c>
      <c r="Q593" s="3">
        <v>0</v>
      </c>
      <c r="R593" s="3">
        <v>0</v>
      </c>
      <c r="S593" s="3">
        <v>0</v>
      </c>
      <c r="T593" s="3">
        <v>0</v>
      </c>
      <c r="U593" s="3">
        <v>200000</v>
      </c>
      <c r="V593" s="13"/>
    </row>
    <row r="594" spans="1:22" ht="21.95" customHeight="1">
      <c r="A594" s="52" t="s">
        <v>1490</v>
      </c>
      <c r="B594" s="24" t="s">
        <v>621</v>
      </c>
      <c r="C594" s="1">
        <f t="shared" si="169"/>
        <v>3259690</v>
      </c>
      <c r="D594" s="21">
        <f t="shared" si="170"/>
        <v>0</v>
      </c>
      <c r="E594" s="21">
        <v>0</v>
      </c>
      <c r="F594" s="21">
        <v>0</v>
      </c>
      <c r="G594" s="21">
        <v>0</v>
      </c>
      <c r="H594" s="21">
        <v>0</v>
      </c>
      <c r="I594" s="21">
        <v>0</v>
      </c>
      <c r="J594" s="21">
        <v>0</v>
      </c>
      <c r="K594" s="5">
        <v>0</v>
      </c>
      <c r="L594" s="3">
        <v>0</v>
      </c>
      <c r="M594" s="3">
        <v>577.29999999999995</v>
      </c>
      <c r="N594" s="3">
        <v>3059690</v>
      </c>
      <c r="O594" s="3">
        <v>0</v>
      </c>
      <c r="P594" s="3">
        <v>0</v>
      </c>
      <c r="Q594" s="3">
        <v>0</v>
      </c>
      <c r="R594" s="3">
        <v>0</v>
      </c>
      <c r="S594" s="3">
        <v>0</v>
      </c>
      <c r="T594" s="3">
        <v>0</v>
      </c>
      <c r="U594" s="3">
        <v>200000</v>
      </c>
      <c r="V594" s="13"/>
    </row>
    <row r="595" spans="1:22" ht="21.95" customHeight="1">
      <c r="A595" s="52" t="s">
        <v>1491</v>
      </c>
      <c r="B595" s="24" t="s">
        <v>437</v>
      </c>
      <c r="C595" s="1">
        <f t="shared" si="169"/>
        <v>1849000</v>
      </c>
      <c r="D595" s="21">
        <f t="shared" si="170"/>
        <v>0</v>
      </c>
      <c r="E595" s="21">
        <v>0</v>
      </c>
      <c r="F595" s="21">
        <v>0</v>
      </c>
      <c r="G595" s="21">
        <v>0</v>
      </c>
      <c r="H595" s="21">
        <v>0</v>
      </c>
      <c r="I595" s="21">
        <v>0</v>
      </c>
      <c r="J595" s="21">
        <v>0</v>
      </c>
      <c r="K595" s="40">
        <v>0</v>
      </c>
      <c r="L595" s="21">
        <v>0</v>
      </c>
      <c r="M595" s="21">
        <v>330</v>
      </c>
      <c r="N595" s="21">
        <v>1749000</v>
      </c>
      <c r="O595" s="21">
        <v>0</v>
      </c>
      <c r="P595" s="21">
        <v>0</v>
      </c>
      <c r="Q595" s="21">
        <v>0</v>
      </c>
      <c r="R595" s="21">
        <v>0</v>
      </c>
      <c r="S595" s="21">
        <v>0</v>
      </c>
      <c r="T595" s="3">
        <v>0</v>
      </c>
      <c r="U595" s="21">
        <v>100000</v>
      </c>
    </row>
    <row r="596" spans="1:22" ht="21.95" customHeight="1">
      <c r="A596" s="52" t="s">
        <v>1492</v>
      </c>
      <c r="B596" s="24" t="s">
        <v>548</v>
      </c>
      <c r="C596" s="1">
        <f t="shared" si="169"/>
        <v>2844170</v>
      </c>
      <c r="D596" s="21">
        <f t="shared" si="170"/>
        <v>0</v>
      </c>
      <c r="E596" s="21">
        <v>0</v>
      </c>
      <c r="F596" s="21">
        <v>0</v>
      </c>
      <c r="G596" s="21">
        <v>0</v>
      </c>
      <c r="H596" s="21">
        <v>0</v>
      </c>
      <c r="I596" s="21">
        <v>0</v>
      </c>
      <c r="J596" s="21">
        <v>0</v>
      </c>
      <c r="K596" s="5">
        <v>0</v>
      </c>
      <c r="L596" s="3">
        <v>0</v>
      </c>
      <c r="M596" s="3">
        <v>498.9</v>
      </c>
      <c r="N596" s="3">
        <v>2644170</v>
      </c>
      <c r="O596" s="3">
        <v>0</v>
      </c>
      <c r="P596" s="3">
        <v>0</v>
      </c>
      <c r="Q596" s="3">
        <v>0</v>
      </c>
      <c r="R596" s="3">
        <v>0</v>
      </c>
      <c r="S596" s="3">
        <v>0</v>
      </c>
      <c r="T596" s="3">
        <v>0</v>
      </c>
      <c r="U596" s="3">
        <v>200000</v>
      </c>
      <c r="V596" s="13"/>
    </row>
    <row r="597" spans="1:22" ht="21.95" customHeight="1">
      <c r="A597" s="52" t="s">
        <v>1493</v>
      </c>
      <c r="B597" s="24" t="s">
        <v>622</v>
      </c>
      <c r="C597" s="1">
        <f t="shared" si="169"/>
        <v>2626375</v>
      </c>
      <c r="D597" s="21">
        <f t="shared" si="170"/>
        <v>2426375</v>
      </c>
      <c r="E597" s="21">
        <f>350*[1]Прилож!$H$654</f>
        <v>361375</v>
      </c>
      <c r="F597" s="21">
        <f>800*[1]Прилож!$H$654</f>
        <v>826000</v>
      </c>
      <c r="G597" s="21">
        <f>300*[1]Прилож!$H$654</f>
        <v>309750</v>
      </c>
      <c r="H597" s="21">
        <f>500*[1]Прилож!$H$654</f>
        <v>516250</v>
      </c>
      <c r="I597" s="21">
        <f>400*[1]Прилож!$H$654</f>
        <v>413000</v>
      </c>
      <c r="J597" s="21">
        <f>350*0</f>
        <v>0</v>
      </c>
      <c r="K597" s="5">
        <v>0</v>
      </c>
      <c r="L597" s="3">
        <v>0</v>
      </c>
      <c r="M597" s="3">
        <v>0</v>
      </c>
      <c r="N597" s="3">
        <v>0</v>
      </c>
      <c r="O597" s="3">
        <v>0</v>
      </c>
      <c r="P597" s="3">
        <v>0</v>
      </c>
      <c r="Q597" s="3">
        <v>0</v>
      </c>
      <c r="R597" s="3">
        <v>0</v>
      </c>
      <c r="S597" s="3">
        <v>0</v>
      </c>
      <c r="T597" s="3">
        <v>0</v>
      </c>
      <c r="U597" s="3">
        <v>200000</v>
      </c>
      <c r="V597" s="13"/>
    </row>
    <row r="598" spans="1:22" ht="21.95" customHeight="1">
      <c r="A598" s="52" t="s">
        <v>1494</v>
      </c>
      <c r="B598" s="24" t="s">
        <v>549</v>
      </c>
      <c r="C598" s="1">
        <f t="shared" si="169"/>
        <v>4588400</v>
      </c>
      <c r="D598" s="21">
        <f t="shared" si="170"/>
        <v>0</v>
      </c>
      <c r="E598" s="21">
        <v>0</v>
      </c>
      <c r="F598" s="21">
        <v>0</v>
      </c>
      <c r="G598" s="21">
        <v>0</v>
      </c>
      <c r="H598" s="21">
        <v>0</v>
      </c>
      <c r="I598" s="21">
        <v>0</v>
      </c>
      <c r="J598" s="21">
        <v>0</v>
      </c>
      <c r="K598" s="5">
        <v>0</v>
      </c>
      <c r="L598" s="3">
        <v>0</v>
      </c>
      <c r="M598" s="3">
        <v>828</v>
      </c>
      <c r="N598" s="3">
        <v>4388400</v>
      </c>
      <c r="O598" s="3">
        <v>0</v>
      </c>
      <c r="P598" s="3">
        <v>0</v>
      </c>
      <c r="Q598" s="3">
        <v>0</v>
      </c>
      <c r="R598" s="3">
        <v>0</v>
      </c>
      <c r="S598" s="3">
        <v>0</v>
      </c>
      <c r="T598" s="3">
        <v>0</v>
      </c>
      <c r="U598" s="3">
        <v>200000</v>
      </c>
      <c r="V598" s="13"/>
    </row>
    <row r="599" spans="1:22" ht="21.95" customHeight="1">
      <c r="A599" s="52" t="s">
        <v>1495</v>
      </c>
      <c r="B599" s="30" t="s">
        <v>550</v>
      </c>
      <c r="C599" s="1">
        <f t="shared" si="169"/>
        <v>1641600</v>
      </c>
      <c r="D599" s="21">
        <f t="shared" si="170"/>
        <v>0</v>
      </c>
      <c r="E599" s="21">
        <v>0</v>
      </c>
      <c r="F599" s="21">
        <v>0</v>
      </c>
      <c r="G599" s="21">
        <v>0</v>
      </c>
      <c r="H599" s="21">
        <v>0</v>
      </c>
      <c r="I599" s="21">
        <v>0</v>
      </c>
      <c r="J599" s="21">
        <v>0</v>
      </c>
      <c r="K599" s="5">
        <v>0</v>
      </c>
      <c r="L599" s="3">
        <v>0</v>
      </c>
      <c r="M599" s="3">
        <v>272</v>
      </c>
      <c r="N599" s="3">
        <v>1441600</v>
      </c>
      <c r="O599" s="3">
        <v>0</v>
      </c>
      <c r="P599" s="3">
        <v>0</v>
      </c>
      <c r="Q599" s="3">
        <v>0</v>
      </c>
      <c r="R599" s="3">
        <v>0</v>
      </c>
      <c r="S599" s="3">
        <v>0</v>
      </c>
      <c r="T599" s="3">
        <v>0</v>
      </c>
      <c r="U599" s="3">
        <v>200000</v>
      </c>
      <c r="V599" s="13"/>
    </row>
    <row r="600" spans="1:22" ht="21.95" customHeight="1">
      <c r="A600" s="52" t="s">
        <v>1496</v>
      </c>
      <c r="B600" s="30" t="s">
        <v>407</v>
      </c>
      <c r="C600" s="1">
        <f t="shared" si="169"/>
        <v>2577580</v>
      </c>
      <c r="D600" s="21">
        <f t="shared" si="170"/>
        <v>0</v>
      </c>
      <c r="E600" s="21">
        <v>0</v>
      </c>
      <c r="F600" s="21">
        <v>0</v>
      </c>
      <c r="G600" s="21">
        <v>0</v>
      </c>
      <c r="H600" s="21">
        <v>0</v>
      </c>
      <c r="I600" s="21">
        <v>0</v>
      </c>
      <c r="J600" s="21">
        <v>0</v>
      </c>
      <c r="K600" s="40">
        <v>0</v>
      </c>
      <c r="L600" s="21">
        <v>0</v>
      </c>
      <c r="M600" s="21">
        <v>448.6</v>
      </c>
      <c r="N600" s="21">
        <v>2377580</v>
      </c>
      <c r="O600" s="21">
        <v>0</v>
      </c>
      <c r="P600" s="21">
        <v>0</v>
      </c>
      <c r="Q600" s="21">
        <v>0</v>
      </c>
      <c r="R600" s="21">
        <v>0</v>
      </c>
      <c r="S600" s="21">
        <v>0</v>
      </c>
      <c r="T600" s="3">
        <v>0</v>
      </c>
      <c r="U600" s="21">
        <v>200000</v>
      </c>
    </row>
    <row r="601" spans="1:22" ht="21.95" customHeight="1">
      <c r="A601" s="52" t="s">
        <v>1497</v>
      </c>
      <c r="B601" s="24" t="s">
        <v>401</v>
      </c>
      <c r="C601" s="1">
        <f t="shared" si="169"/>
        <v>2019490</v>
      </c>
      <c r="D601" s="21">
        <f t="shared" si="170"/>
        <v>0</v>
      </c>
      <c r="E601" s="21">
        <v>0</v>
      </c>
      <c r="F601" s="21">
        <v>0</v>
      </c>
      <c r="G601" s="21">
        <v>0</v>
      </c>
      <c r="H601" s="21">
        <v>0</v>
      </c>
      <c r="I601" s="21">
        <v>0</v>
      </c>
      <c r="J601" s="21">
        <v>0</v>
      </c>
      <c r="K601" s="40">
        <v>0</v>
      </c>
      <c r="L601" s="21">
        <v>0</v>
      </c>
      <c r="M601" s="21">
        <v>343.3</v>
      </c>
      <c r="N601" s="21">
        <v>1819490</v>
      </c>
      <c r="O601" s="21">
        <v>0</v>
      </c>
      <c r="P601" s="21">
        <v>0</v>
      </c>
      <c r="Q601" s="21">
        <v>0</v>
      </c>
      <c r="R601" s="21">
        <v>0</v>
      </c>
      <c r="S601" s="21">
        <v>0</v>
      </c>
      <c r="T601" s="3">
        <v>0</v>
      </c>
      <c r="U601" s="21">
        <v>200000</v>
      </c>
    </row>
    <row r="602" spans="1:22" ht="21.95" customHeight="1">
      <c r="A602" s="52" t="s">
        <v>1498</v>
      </c>
      <c r="B602" s="24" t="s">
        <v>551</v>
      </c>
      <c r="C602" s="1">
        <f t="shared" si="169"/>
        <v>5108805</v>
      </c>
      <c r="D602" s="21">
        <f t="shared" si="170"/>
        <v>2190435</v>
      </c>
      <c r="E602" s="21">
        <f>350*[1]Прилож!$H$668</f>
        <v>326235</v>
      </c>
      <c r="F602" s="21">
        <f>800*[1]Прилож!$H$668</f>
        <v>745680</v>
      </c>
      <c r="G602" s="21">
        <f>300*[1]Прилож!$H$668</f>
        <v>279630</v>
      </c>
      <c r="H602" s="21">
        <f>500*[1]Прилож!$H$668</f>
        <v>466050</v>
      </c>
      <c r="I602" s="21">
        <f>400*[1]Прилож!$H$668</f>
        <v>372840</v>
      </c>
      <c r="J602" s="21">
        <f>350*0</f>
        <v>0</v>
      </c>
      <c r="K602" s="5">
        <v>0</v>
      </c>
      <c r="L602" s="3">
        <v>0</v>
      </c>
      <c r="M602" s="3">
        <v>512.9</v>
      </c>
      <c r="N602" s="3">
        <v>2718370</v>
      </c>
      <c r="O602" s="3">
        <v>0</v>
      </c>
      <c r="P602" s="3">
        <v>0</v>
      </c>
      <c r="Q602" s="3">
        <v>0</v>
      </c>
      <c r="R602" s="3">
        <v>0</v>
      </c>
      <c r="S602" s="3">
        <v>0</v>
      </c>
      <c r="T602" s="3">
        <v>0</v>
      </c>
      <c r="U602" s="3">
        <v>200000</v>
      </c>
      <c r="V602" s="13"/>
    </row>
    <row r="603" spans="1:22" ht="21.95" customHeight="1">
      <c r="A603" s="52" t="s">
        <v>1018</v>
      </c>
      <c r="B603" s="24" t="s">
        <v>552</v>
      </c>
      <c r="C603" s="1">
        <f t="shared" si="169"/>
        <v>1737000</v>
      </c>
      <c r="D603" s="21">
        <f t="shared" si="170"/>
        <v>0</v>
      </c>
      <c r="E603" s="21">
        <v>0</v>
      </c>
      <c r="F603" s="21">
        <v>0</v>
      </c>
      <c r="G603" s="21">
        <v>0</v>
      </c>
      <c r="H603" s="21">
        <v>0</v>
      </c>
      <c r="I603" s="21">
        <v>0</v>
      </c>
      <c r="J603" s="21">
        <v>0</v>
      </c>
      <c r="K603" s="5">
        <v>0</v>
      </c>
      <c r="L603" s="3">
        <v>0</v>
      </c>
      <c r="M603" s="3">
        <v>290</v>
      </c>
      <c r="N603" s="3">
        <v>1537000</v>
      </c>
      <c r="O603" s="3">
        <v>0</v>
      </c>
      <c r="P603" s="3">
        <v>0</v>
      </c>
      <c r="Q603" s="3">
        <v>0</v>
      </c>
      <c r="R603" s="3">
        <v>0</v>
      </c>
      <c r="S603" s="3">
        <v>0</v>
      </c>
      <c r="T603" s="3">
        <v>0</v>
      </c>
      <c r="U603" s="3">
        <v>200000</v>
      </c>
      <c r="V603" s="13"/>
    </row>
    <row r="604" spans="1:22" ht="21.95" customHeight="1">
      <c r="A604" s="52" t="s">
        <v>1019</v>
      </c>
      <c r="B604" s="24" t="s">
        <v>553</v>
      </c>
      <c r="C604" s="1">
        <f t="shared" si="169"/>
        <v>2325300</v>
      </c>
      <c r="D604" s="21">
        <f t="shared" si="170"/>
        <v>0</v>
      </c>
      <c r="E604" s="21">
        <v>0</v>
      </c>
      <c r="F604" s="21">
        <v>0</v>
      </c>
      <c r="G604" s="21">
        <v>0</v>
      </c>
      <c r="H604" s="21">
        <v>0</v>
      </c>
      <c r="I604" s="21">
        <v>0</v>
      </c>
      <c r="J604" s="21">
        <v>0</v>
      </c>
      <c r="K604" s="5">
        <v>0</v>
      </c>
      <c r="L604" s="3">
        <v>0</v>
      </c>
      <c r="M604" s="3">
        <v>401</v>
      </c>
      <c r="N604" s="3">
        <v>2125300</v>
      </c>
      <c r="O604" s="3">
        <v>0</v>
      </c>
      <c r="P604" s="3">
        <v>0</v>
      </c>
      <c r="Q604" s="3">
        <v>0</v>
      </c>
      <c r="R604" s="3">
        <v>0</v>
      </c>
      <c r="S604" s="3">
        <v>0</v>
      </c>
      <c r="T604" s="3">
        <v>0</v>
      </c>
      <c r="U604" s="3">
        <v>200000</v>
      </c>
      <c r="V604" s="13"/>
    </row>
    <row r="605" spans="1:22" ht="21.95" customHeight="1">
      <c r="A605" s="52" t="s">
        <v>1020</v>
      </c>
      <c r="B605" s="24" t="s">
        <v>623</v>
      </c>
      <c r="C605" s="1">
        <f t="shared" si="169"/>
        <v>4954100</v>
      </c>
      <c r="D605" s="21">
        <f t="shared" si="170"/>
        <v>0</v>
      </c>
      <c r="E605" s="21">
        <v>0</v>
      </c>
      <c r="F605" s="21">
        <v>0</v>
      </c>
      <c r="G605" s="21">
        <v>0</v>
      </c>
      <c r="H605" s="21">
        <v>0</v>
      </c>
      <c r="I605" s="21">
        <v>0</v>
      </c>
      <c r="J605" s="21">
        <v>0</v>
      </c>
      <c r="K605" s="5">
        <v>0</v>
      </c>
      <c r="L605" s="3">
        <v>0</v>
      </c>
      <c r="M605" s="3">
        <v>897</v>
      </c>
      <c r="N605" s="3">
        <v>4754100</v>
      </c>
      <c r="O605" s="3">
        <v>0</v>
      </c>
      <c r="P605" s="3">
        <v>0</v>
      </c>
      <c r="Q605" s="3">
        <v>0</v>
      </c>
      <c r="R605" s="3">
        <v>0</v>
      </c>
      <c r="S605" s="3">
        <v>0</v>
      </c>
      <c r="T605" s="3">
        <v>0</v>
      </c>
      <c r="U605" s="3">
        <v>200000</v>
      </c>
      <c r="V605" s="13"/>
    </row>
    <row r="606" spans="1:22" ht="21.95" customHeight="1">
      <c r="A606" s="52" t="s">
        <v>1021</v>
      </c>
      <c r="B606" s="24" t="s">
        <v>624</v>
      </c>
      <c r="C606" s="1">
        <f t="shared" si="169"/>
        <v>1567400</v>
      </c>
      <c r="D606" s="21">
        <f t="shared" si="170"/>
        <v>0</v>
      </c>
      <c r="E606" s="21">
        <v>0</v>
      </c>
      <c r="F606" s="21">
        <v>0</v>
      </c>
      <c r="G606" s="21">
        <v>0</v>
      </c>
      <c r="H606" s="21">
        <v>0</v>
      </c>
      <c r="I606" s="21">
        <v>0</v>
      </c>
      <c r="J606" s="21">
        <v>0</v>
      </c>
      <c r="K606" s="5">
        <v>0</v>
      </c>
      <c r="L606" s="3">
        <v>0</v>
      </c>
      <c r="M606" s="3">
        <v>258</v>
      </c>
      <c r="N606" s="3">
        <v>1367400</v>
      </c>
      <c r="O606" s="3">
        <v>0</v>
      </c>
      <c r="P606" s="3">
        <v>0</v>
      </c>
      <c r="Q606" s="3">
        <v>0</v>
      </c>
      <c r="R606" s="3">
        <v>0</v>
      </c>
      <c r="S606" s="3">
        <v>0</v>
      </c>
      <c r="T606" s="3">
        <v>0</v>
      </c>
      <c r="U606" s="3">
        <v>200000</v>
      </c>
      <c r="V606" s="13"/>
    </row>
    <row r="607" spans="1:22" ht="21.95" customHeight="1">
      <c r="A607" s="52" t="s">
        <v>1022</v>
      </c>
      <c r="B607" s="24" t="s">
        <v>554</v>
      </c>
      <c r="C607" s="1">
        <f t="shared" si="169"/>
        <v>1541430</v>
      </c>
      <c r="D607" s="21">
        <f t="shared" si="170"/>
        <v>0</v>
      </c>
      <c r="E607" s="21">
        <v>0</v>
      </c>
      <c r="F607" s="21">
        <v>0</v>
      </c>
      <c r="G607" s="21">
        <v>0</v>
      </c>
      <c r="H607" s="21">
        <v>0</v>
      </c>
      <c r="I607" s="21">
        <v>0</v>
      </c>
      <c r="J607" s="21">
        <v>0</v>
      </c>
      <c r="K607" s="5">
        <v>0</v>
      </c>
      <c r="L607" s="3">
        <v>0</v>
      </c>
      <c r="M607" s="3">
        <v>253.1</v>
      </c>
      <c r="N607" s="3">
        <v>1341430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200000</v>
      </c>
      <c r="V607" s="13"/>
    </row>
    <row r="608" spans="1:22" ht="21.95" customHeight="1">
      <c r="A608" s="52" t="s">
        <v>1023</v>
      </c>
      <c r="B608" s="24" t="s">
        <v>555</v>
      </c>
      <c r="C608" s="1">
        <f t="shared" si="169"/>
        <v>1514400</v>
      </c>
      <c r="D608" s="21">
        <f t="shared" si="170"/>
        <v>0</v>
      </c>
      <c r="E608" s="21">
        <v>0</v>
      </c>
      <c r="F608" s="21">
        <v>0</v>
      </c>
      <c r="G608" s="21">
        <v>0</v>
      </c>
      <c r="H608" s="21">
        <v>0</v>
      </c>
      <c r="I608" s="21">
        <v>0</v>
      </c>
      <c r="J608" s="21">
        <v>0</v>
      </c>
      <c r="K608" s="5">
        <v>0</v>
      </c>
      <c r="L608" s="3">
        <v>0</v>
      </c>
      <c r="M608" s="3">
        <v>248</v>
      </c>
      <c r="N608" s="3">
        <v>1314400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200000</v>
      </c>
      <c r="V608" s="13"/>
    </row>
    <row r="609" spans="1:22" ht="21.95" customHeight="1">
      <c r="A609" s="52" t="s">
        <v>1024</v>
      </c>
      <c r="B609" s="24" t="s">
        <v>556</v>
      </c>
      <c r="C609" s="1">
        <f t="shared" si="169"/>
        <v>1514400</v>
      </c>
      <c r="D609" s="21">
        <f t="shared" si="170"/>
        <v>0</v>
      </c>
      <c r="E609" s="21">
        <v>0</v>
      </c>
      <c r="F609" s="21">
        <v>0</v>
      </c>
      <c r="G609" s="21">
        <v>0</v>
      </c>
      <c r="H609" s="21">
        <v>0</v>
      </c>
      <c r="I609" s="21">
        <v>0</v>
      </c>
      <c r="J609" s="21">
        <v>0</v>
      </c>
      <c r="K609" s="5">
        <v>0</v>
      </c>
      <c r="L609" s="3">
        <v>0</v>
      </c>
      <c r="M609" s="3">
        <v>248</v>
      </c>
      <c r="N609" s="3">
        <v>1314400</v>
      </c>
      <c r="O609" s="3">
        <v>0</v>
      </c>
      <c r="P609" s="3">
        <v>0</v>
      </c>
      <c r="Q609" s="3">
        <v>0</v>
      </c>
      <c r="R609" s="3">
        <v>0</v>
      </c>
      <c r="S609" s="3">
        <v>0</v>
      </c>
      <c r="T609" s="3">
        <v>0</v>
      </c>
      <c r="U609" s="3">
        <v>200000</v>
      </c>
      <c r="V609" s="13"/>
    </row>
    <row r="610" spans="1:22" ht="21.95" customHeight="1">
      <c r="A610" s="52" t="s">
        <v>1025</v>
      </c>
      <c r="B610" s="30" t="s">
        <v>625</v>
      </c>
      <c r="C610" s="1">
        <f t="shared" si="169"/>
        <v>4175000</v>
      </c>
      <c r="D610" s="21">
        <f t="shared" si="170"/>
        <v>0</v>
      </c>
      <c r="E610" s="21">
        <v>0</v>
      </c>
      <c r="F610" s="21">
        <v>0</v>
      </c>
      <c r="G610" s="21">
        <v>0</v>
      </c>
      <c r="H610" s="21">
        <v>0</v>
      </c>
      <c r="I610" s="21">
        <v>0</v>
      </c>
      <c r="J610" s="21">
        <v>0</v>
      </c>
      <c r="K610" s="5">
        <v>0</v>
      </c>
      <c r="L610" s="3">
        <v>0</v>
      </c>
      <c r="M610" s="3">
        <v>750</v>
      </c>
      <c r="N610" s="3">
        <v>3975000</v>
      </c>
      <c r="O610" s="3">
        <v>0</v>
      </c>
      <c r="P610" s="3">
        <v>0</v>
      </c>
      <c r="Q610" s="3">
        <v>0</v>
      </c>
      <c r="R610" s="3">
        <v>0</v>
      </c>
      <c r="S610" s="3">
        <v>0</v>
      </c>
      <c r="T610" s="3">
        <v>0</v>
      </c>
      <c r="U610" s="3">
        <v>200000</v>
      </c>
      <c r="V610" s="13"/>
    </row>
    <row r="611" spans="1:22" ht="21.95" customHeight="1">
      <c r="A611" s="52" t="s">
        <v>1026</v>
      </c>
      <c r="B611" s="30" t="s">
        <v>626</v>
      </c>
      <c r="C611" s="1">
        <f t="shared" si="169"/>
        <v>1376600</v>
      </c>
      <c r="D611" s="21">
        <f t="shared" si="170"/>
        <v>0</v>
      </c>
      <c r="E611" s="21">
        <v>0</v>
      </c>
      <c r="F611" s="21">
        <v>0</v>
      </c>
      <c r="G611" s="21">
        <v>0</v>
      </c>
      <c r="H611" s="21">
        <v>0</v>
      </c>
      <c r="I611" s="21">
        <v>0</v>
      </c>
      <c r="J611" s="21">
        <v>0</v>
      </c>
      <c r="K611" s="5">
        <v>0</v>
      </c>
      <c r="L611" s="3">
        <v>0</v>
      </c>
      <c r="M611" s="3">
        <v>222</v>
      </c>
      <c r="N611" s="3">
        <v>1176600</v>
      </c>
      <c r="O611" s="3">
        <v>0</v>
      </c>
      <c r="P611" s="3">
        <v>0</v>
      </c>
      <c r="Q611" s="3">
        <v>0</v>
      </c>
      <c r="R611" s="3">
        <v>0</v>
      </c>
      <c r="S611" s="3">
        <v>0</v>
      </c>
      <c r="T611" s="3">
        <v>0</v>
      </c>
      <c r="U611" s="3">
        <v>200000</v>
      </c>
      <c r="V611" s="13"/>
    </row>
    <row r="612" spans="1:22" ht="21.95" customHeight="1">
      <c r="A612" s="52" t="s">
        <v>1027</v>
      </c>
      <c r="B612" s="30" t="s">
        <v>627</v>
      </c>
      <c r="C612" s="1">
        <f t="shared" si="169"/>
        <v>2070900</v>
      </c>
      <c r="D612" s="21">
        <f t="shared" si="170"/>
        <v>0</v>
      </c>
      <c r="E612" s="21">
        <v>0</v>
      </c>
      <c r="F612" s="21">
        <v>0</v>
      </c>
      <c r="G612" s="21">
        <v>0</v>
      </c>
      <c r="H612" s="21">
        <v>0</v>
      </c>
      <c r="I612" s="21">
        <v>0</v>
      </c>
      <c r="J612" s="21">
        <v>0</v>
      </c>
      <c r="K612" s="5">
        <v>0</v>
      </c>
      <c r="L612" s="3">
        <v>0</v>
      </c>
      <c r="M612" s="3">
        <v>353</v>
      </c>
      <c r="N612" s="3">
        <v>1870900</v>
      </c>
      <c r="O612" s="3">
        <v>0</v>
      </c>
      <c r="P612" s="3">
        <v>0</v>
      </c>
      <c r="Q612" s="3">
        <v>0</v>
      </c>
      <c r="R612" s="3">
        <v>0</v>
      </c>
      <c r="S612" s="3">
        <v>0</v>
      </c>
      <c r="T612" s="3">
        <v>0</v>
      </c>
      <c r="U612" s="3">
        <v>200000</v>
      </c>
      <c r="V612" s="13"/>
    </row>
    <row r="613" spans="1:22" ht="21.95" customHeight="1">
      <c r="A613" s="52" t="s">
        <v>1028</v>
      </c>
      <c r="B613" s="24" t="s">
        <v>557</v>
      </c>
      <c r="C613" s="1">
        <f t="shared" si="169"/>
        <v>2122840</v>
      </c>
      <c r="D613" s="21">
        <f t="shared" si="170"/>
        <v>0</v>
      </c>
      <c r="E613" s="21">
        <v>0</v>
      </c>
      <c r="F613" s="21">
        <v>0</v>
      </c>
      <c r="G613" s="21">
        <v>0</v>
      </c>
      <c r="H613" s="21">
        <v>0</v>
      </c>
      <c r="I613" s="21">
        <v>0</v>
      </c>
      <c r="J613" s="21">
        <v>0</v>
      </c>
      <c r="K613" s="5">
        <v>0</v>
      </c>
      <c r="L613" s="3">
        <v>0</v>
      </c>
      <c r="M613" s="3">
        <v>362.8</v>
      </c>
      <c r="N613" s="3">
        <v>1922840</v>
      </c>
      <c r="O613" s="3">
        <v>0</v>
      </c>
      <c r="P613" s="3">
        <v>0</v>
      </c>
      <c r="Q613" s="3">
        <v>0</v>
      </c>
      <c r="R613" s="3">
        <v>0</v>
      </c>
      <c r="S613" s="3">
        <v>0</v>
      </c>
      <c r="T613" s="3">
        <v>0</v>
      </c>
      <c r="U613" s="3">
        <v>200000</v>
      </c>
      <c r="V613" s="13"/>
    </row>
    <row r="614" spans="1:22" ht="21.95" customHeight="1">
      <c r="A614" s="52" t="s">
        <v>1029</v>
      </c>
      <c r="B614" s="24" t="s">
        <v>628</v>
      </c>
      <c r="C614" s="1">
        <f t="shared" ref="C614:C677" si="171">D614+L614+N614+P614+R614+S614+T614+U614</f>
        <v>1678700</v>
      </c>
      <c r="D614" s="21">
        <f t="shared" si="170"/>
        <v>0</v>
      </c>
      <c r="E614" s="21">
        <v>0</v>
      </c>
      <c r="F614" s="21">
        <v>0</v>
      </c>
      <c r="G614" s="21">
        <v>0</v>
      </c>
      <c r="H614" s="21">
        <v>0</v>
      </c>
      <c r="I614" s="21">
        <v>0</v>
      </c>
      <c r="J614" s="21">
        <v>0</v>
      </c>
      <c r="K614" s="5">
        <v>0</v>
      </c>
      <c r="L614" s="3">
        <v>0</v>
      </c>
      <c r="M614" s="3">
        <v>279</v>
      </c>
      <c r="N614" s="3">
        <v>1478700</v>
      </c>
      <c r="O614" s="3">
        <v>0</v>
      </c>
      <c r="P614" s="3">
        <v>0</v>
      </c>
      <c r="Q614" s="3">
        <v>0</v>
      </c>
      <c r="R614" s="3">
        <v>0</v>
      </c>
      <c r="S614" s="3">
        <v>0</v>
      </c>
      <c r="T614" s="3">
        <v>0</v>
      </c>
      <c r="U614" s="3">
        <v>200000</v>
      </c>
      <c r="V614" s="13"/>
    </row>
    <row r="615" spans="1:22" ht="21.95" customHeight="1">
      <c r="A615" s="52" t="s">
        <v>1030</v>
      </c>
      <c r="B615" s="24" t="s">
        <v>558</v>
      </c>
      <c r="C615" s="1">
        <f t="shared" si="171"/>
        <v>1673400</v>
      </c>
      <c r="D615" s="21">
        <f t="shared" si="170"/>
        <v>0</v>
      </c>
      <c r="E615" s="21">
        <v>0</v>
      </c>
      <c r="F615" s="21">
        <v>0</v>
      </c>
      <c r="G615" s="21">
        <v>0</v>
      </c>
      <c r="H615" s="21">
        <v>0</v>
      </c>
      <c r="I615" s="21">
        <v>0</v>
      </c>
      <c r="J615" s="21">
        <v>0</v>
      </c>
      <c r="K615" s="5">
        <v>0</v>
      </c>
      <c r="L615" s="3">
        <v>0</v>
      </c>
      <c r="M615" s="3">
        <v>278</v>
      </c>
      <c r="N615" s="3">
        <v>1473400</v>
      </c>
      <c r="O615" s="3">
        <v>0</v>
      </c>
      <c r="P615" s="3">
        <v>0</v>
      </c>
      <c r="Q615" s="3">
        <v>0</v>
      </c>
      <c r="R615" s="3">
        <v>0</v>
      </c>
      <c r="S615" s="3">
        <v>0</v>
      </c>
      <c r="T615" s="3">
        <v>0</v>
      </c>
      <c r="U615" s="3">
        <v>200000</v>
      </c>
      <c r="V615" s="13"/>
    </row>
    <row r="616" spans="1:22" ht="21.95" customHeight="1">
      <c r="A616" s="52" t="s">
        <v>1790</v>
      </c>
      <c r="B616" s="24" t="s">
        <v>629</v>
      </c>
      <c r="C616" s="1">
        <f t="shared" si="171"/>
        <v>4551300</v>
      </c>
      <c r="D616" s="21">
        <f t="shared" si="170"/>
        <v>0</v>
      </c>
      <c r="E616" s="21">
        <v>0</v>
      </c>
      <c r="F616" s="21">
        <v>0</v>
      </c>
      <c r="G616" s="21">
        <v>0</v>
      </c>
      <c r="H616" s="21">
        <v>0</v>
      </c>
      <c r="I616" s="21">
        <v>0</v>
      </c>
      <c r="J616" s="21">
        <v>0</v>
      </c>
      <c r="K616" s="5">
        <v>0</v>
      </c>
      <c r="L616" s="3">
        <v>0</v>
      </c>
      <c r="M616" s="3">
        <v>821</v>
      </c>
      <c r="N616" s="3">
        <v>4351300</v>
      </c>
      <c r="O616" s="3">
        <v>0</v>
      </c>
      <c r="P616" s="3">
        <v>0</v>
      </c>
      <c r="Q616" s="3">
        <v>0</v>
      </c>
      <c r="R616" s="3">
        <v>0</v>
      </c>
      <c r="S616" s="3">
        <v>0</v>
      </c>
      <c r="T616" s="3">
        <v>0</v>
      </c>
      <c r="U616" s="3">
        <v>200000</v>
      </c>
      <c r="V616" s="13"/>
    </row>
    <row r="617" spans="1:22" ht="21.95" customHeight="1">
      <c r="A617" s="52" t="s">
        <v>1791</v>
      </c>
      <c r="B617" s="24" t="s">
        <v>630</v>
      </c>
      <c r="C617" s="1">
        <f t="shared" si="171"/>
        <v>2781100</v>
      </c>
      <c r="D617" s="21">
        <f t="shared" si="170"/>
        <v>0</v>
      </c>
      <c r="E617" s="21">
        <v>0</v>
      </c>
      <c r="F617" s="21">
        <v>0</v>
      </c>
      <c r="G617" s="21">
        <v>0</v>
      </c>
      <c r="H617" s="21">
        <v>0</v>
      </c>
      <c r="I617" s="21">
        <v>0</v>
      </c>
      <c r="J617" s="21">
        <v>0</v>
      </c>
      <c r="K617" s="5">
        <v>0</v>
      </c>
      <c r="L617" s="3">
        <v>0</v>
      </c>
      <c r="M617" s="3">
        <v>487</v>
      </c>
      <c r="N617" s="3">
        <v>2581100</v>
      </c>
      <c r="O617" s="3">
        <v>0</v>
      </c>
      <c r="P617" s="3">
        <v>0</v>
      </c>
      <c r="Q617" s="3">
        <v>0</v>
      </c>
      <c r="R617" s="3">
        <v>0</v>
      </c>
      <c r="S617" s="3">
        <v>0</v>
      </c>
      <c r="T617" s="3">
        <v>0</v>
      </c>
      <c r="U617" s="3">
        <v>200000</v>
      </c>
      <c r="V617" s="13"/>
    </row>
    <row r="618" spans="1:22" ht="21.95" customHeight="1">
      <c r="A618" s="52" t="s">
        <v>1031</v>
      </c>
      <c r="B618" s="24" t="s">
        <v>631</v>
      </c>
      <c r="C618" s="1">
        <f t="shared" si="171"/>
        <v>1576940</v>
      </c>
      <c r="D618" s="21">
        <f t="shared" si="170"/>
        <v>0</v>
      </c>
      <c r="E618" s="21">
        <v>0</v>
      </c>
      <c r="F618" s="21">
        <v>0</v>
      </c>
      <c r="G618" s="21">
        <v>0</v>
      </c>
      <c r="H618" s="21">
        <v>0</v>
      </c>
      <c r="I618" s="21">
        <v>0</v>
      </c>
      <c r="J618" s="21">
        <v>0</v>
      </c>
      <c r="K618" s="5">
        <v>0</v>
      </c>
      <c r="L618" s="3">
        <v>0</v>
      </c>
      <c r="M618" s="3">
        <v>259.8</v>
      </c>
      <c r="N618" s="3">
        <v>1376940</v>
      </c>
      <c r="O618" s="3">
        <v>0</v>
      </c>
      <c r="P618" s="3">
        <v>0</v>
      </c>
      <c r="Q618" s="3">
        <v>0</v>
      </c>
      <c r="R618" s="3">
        <v>0</v>
      </c>
      <c r="S618" s="3">
        <v>0</v>
      </c>
      <c r="T618" s="3">
        <v>0</v>
      </c>
      <c r="U618" s="3">
        <v>200000</v>
      </c>
      <c r="V618" s="13"/>
    </row>
    <row r="619" spans="1:22" ht="21.95" customHeight="1">
      <c r="A619" s="52" t="s">
        <v>1032</v>
      </c>
      <c r="B619" s="24" t="s">
        <v>632</v>
      </c>
      <c r="C619" s="1">
        <f t="shared" si="171"/>
        <v>2600370</v>
      </c>
      <c r="D619" s="21">
        <f t="shared" si="170"/>
        <v>0</v>
      </c>
      <c r="E619" s="21">
        <v>0</v>
      </c>
      <c r="F619" s="21">
        <v>0</v>
      </c>
      <c r="G619" s="21">
        <v>0</v>
      </c>
      <c r="H619" s="21">
        <v>0</v>
      </c>
      <c r="I619" s="21">
        <v>0</v>
      </c>
      <c r="J619" s="21">
        <v>0</v>
      </c>
      <c r="K619" s="5">
        <v>0</v>
      </c>
      <c r="L619" s="3">
        <v>0</v>
      </c>
      <c r="M619" s="3">
        <v>452.9</v>
      </c>
      <c r="N619" s="3">
        <v>2400370</v>
      </c>
      <c r="O619" s="3">
        <v>0</v>
      </c>
      <c r="P619" s="3">
        <v>0</v>
      </c>
      <c r="Q619" s="3">
        <v>0</v>
      </c>
      <c r="R619" s="3">
        <v>0</v>
      </c>
      <c r="S619" s="3">
        <v>0</v>
      </c>
      <c r="T619" s="3">
        <v>0</v>
      </c>
      <c r="U619" s="3">
        <v>200000</v>
      </c>
      <c r="V619" s="13"/>
    </row>
    <row r="620" spans="1:22" ht="21.95" customHeight="1">
      <c r="A620" s="52" t="s">
        <v>1033</v>
      </c>
      <c r="B620" s="24" t="s">
        <v>485</v>
      </c>
      <c r="C620" s="1">
        <f t="shared" si="171"/>
        <v>3665140</v>
      </c>
      <c r="D620" s="21">
        <f t="shared" si="170"/>
        <v>0</v>
      </c>
      <c r="E620" s="21">
        <v>0</v>
      </c>
      <c r="F620" s="21">
        <v>0</v>
      </c>
      <c r="G620" s="21">
        <v>0</v>
      </c>
      <c r="H620" s="21">
        <v>0</v>
      </c>
      <c r="I620" s="21">
        <v>0</v>
      </c>
      <c r="J620" s="21">
        <v>0</v>
      </c>
      <c r="K620" s="40">
        <v>0</v>
      </c>
      <c r="L620" s="21">
        <v>0</v>
      </c>
      <c r="M620" s="21">
        <v>653.79999999999995</v>
      </c>
      <c r="N620" s="21">
        <v>3465140</v>
      </c>
      <c r="O620" s="21">
        <v>0</v>
      </c>
      <c r="P620" s="21">
        <v>0</v>
      </c>
      <c r="Q620" s="21">
        <v>0</v>
      </c>
      <c r="R620" s="21">
        <v>0</v>
      </c>
      <c r="S620" s="21">
        <v>0</v>
      </c>
      <c r="T620" s="3">
        <v>0</v>
      </c>
      <c r="U620" s="21">
        <v>200000</v>
      </c>
    </row>
    <row r="621" spans="1:22" ht="21.95" customHeight="1">
      <c r="A621" s="52" t="s">
        <v>1034</v>
      </c>
      <c r="B621" s="24" t="s">
        <v>633</v>
      </c>
      <c r="C621" s="1">
        <f t="shared" si="171"/>
        <v>1551500</v>
      </c>
      <c r="D621" s="21">
        <f t="shared" si="170"/>
        <v>0</v>
      </c>
      <c r="E621" s="21">
        <v>0</v>
      </c>
      <c r="F621" s="21">
        <v>0</v>
      </c>
      <c r="G621" s="21">
        <v>0</v>
      </c>
      <c r="H621" s="21">
        <v>0</v>
      </c>
      <c r="I621" s="21">
        <v>0</v>
      </c>
      <c r="J621" s="21">
        <v>0</v>
      </c>
      <c r="K621" s="5">
        <v>0</v>
      </c>
      <c r="L621" s="3">
        <v>0</v>
      </c>
      <c r="M621" s="3">
        <v>255</v>
      </c>
      <c r="N621" s="3">
        <v>1351500</v>
      </c>
      <c r="O621" s="3">
        <v>0</v>
      </c>
      <c r="P621" s="3">
        <v>0</v>
      </c>
      <c r="Q621" s="3">
        <v>0</v>
      </c>
      <c r="R621" s="3">
        <v>0</v>
      </c>
      <c r="S621" s="3">
        <v>0</v>
      </c>
      <c r="T621" s="3">
        <v>0</v>
      </c>
      <c r="U621" s="3">
        <v>200000</v>
      </c>
      <c r="V621" s="13"/>
    </row>
    <row r="622" spans="1:22" ht="21.95" customHeight="1">
      <c r="A622" s="52" t="s">
        <v>1035</v>
      </c>
      <c r="B622" s="24" t="s">
        <v>559</v>
      </c>
      <c r="C622" s="1">
        <f t="shared" si="171"/>
        <v>3633340</v>
      </c>
      <c r="D622" s="21">
        <f t="shared" si="170"/>
        <v>0</v>
      </c>
      <c r="E622" s="21">
        <v>0</v>
      </c>
      <c r="F622" s="21">
        <v>0</v>
      </c>
      <c r="G622" s="21">
        <v>0</v>
      </c>
      <c r="H622" s="21">
        <v>0</v>
      </c>
      <c r="I622" s="21">
        <v>0</v>
      </c>
      <c r="J622" s="21">
        <v>0</v>
      </c>
      <c r="K622" s="5">
        <v>0</v>
      </c>
      <c r="L622" s="3">
        <v>0</v>
      </c>
      <c r="M622" s="3">
        <v>647.79999999999995</v>
      </c>
      <c r="N622" s="3">
        <v>3433340</v>
      </c>
      <c r="O622" s="3">
        <v>0</v>
      </c>
      <c r="P622" s="3">
        <v>0</v>
      </c>
      <c r="Q622" s="3">
        <v>0</v>
      </c>
      <c r="R622" s="3">
        <v>0</v>
      </c>
      <c r="S622" s="3">
        <v>0</v>
      </c>
      <c r="T622" s="3">
        <v>0</v>
      </c>
      <c r="U622" s="3">
        <v>200000</v>
      </c>
      <c r="V622" s="13"/>
    </row>
    <row r="623" spans="1:22" ht="21.95" customHeight="1">
      <c r="A623" s="52" t="s">
        <v>1036</v>
      </c>
      <c r="B623" s="24" t="s">
        <v>634</v>
      </c>
      <c r="C623" s="1">
        <f t="shared" si="171"/>
        <v>2632700</v>
      </c>
      <c r="D623" s="21">
        <f t="shared" si="170"/>
        <v>0</v>
      </c>
      <c r="E623" s="21">
        <v>0</v>
      </c>
      <c r="F623" s="21">
        <v>0</v>
      </c>
      <c r="G623" s="21">
        <v>0</v>
      </c>
      <c r="H623" s="21">
        <v>0</v>
      </c>
      <c r="I623" s="21">
        <v>0</v>
      </c>
      <c r="J623" s="21">
        <v>0</v>
      </c>
      <c r="K623" s="5">
        <v>0</v>
      </c>
      <c r="L623" s="3">
        <v>0</v>
      </c>
      <c r="M623" s="3">
        <v>459</v>
      </c>
      <c r="N623" s="3">
        <v>2432700</v>
      </c>
      <c r="O623" s="3">
        <v>0</v>
      </c>
      <c r="P623" s="3">
        <v>0</v>
      </c>
      <c r="Q623" s="3">
        <v>0</v>
      </c>
      <c r="R623" s="3">
        <v>0</v>
      </c>
      <c r="S623" s="3">
        <v>0</v>
      </c>
      <c r="T623" s="3">
        <v>0</v>
      </c>
      <c r="U623" s="3">
        <v>200000</v>
      </c>
      <c r="V623" s="13"/>
    </row>
    <row r="624" spans="1:22" ht="21.95" customHeight="1">
      <c r="A624" s="52" t="s">
        <v>1037</v>
      </c>
      <c r="B624" s="24" t="s">
        <v>635</v>
      </c>
      <c r="C624" s="1">
        <f t="shared" si="171"/>
        <v>2320000</v>
      </c>
      <c r="D624" s="21">
        <f t="shared" si="170"/>
        <v>0</v>
      </c>
      <c r="E624" s="21">
        <v>0</v>
      </c>
      <c r="F624" s="21">
        <v>0</v>
      </c>
      <c r="G624" s="21">
        <v>0</v>
      </c>
      <c r="H624" s="21">
        <v>0</v>
      </c>
      <c r="I624" s="21">
        <v>0</v>
      </c>
      <c r="J624" s="21">
        <v>0</v>
      </c>
      <c r="K624" s="5">
        <v>0</v>
      </c>
      <c r="L624" s="3">
        <v>0</v>
      </c>
      <c r="M624" s="3">
        <v>400</v>
      </c>
      <c r="N624" s="3">
        <v>2120000</v>
      </c>
      <c r="O624" s="3">
        <v>0</v>
      </c>
      <c r="P624" s="3">
        <v>0</v>
      </c>
      <c r="Q624" s="3">
        <v>0</v>
      </c>
      <c r="R624" s="3">
        <v>0</v>
      </c>
      <c r="S624" s="3">
        <v>0</v>
      </c>
      <c r="T624" s="3">
        <v>0</v>
      </c>
      <c r="U624" s="3">
        <v>200000</v>
      </c>
      <c r="V624" s="13"/>
    </row>
    <row r="625" spans="1:22" ht="21.95" customHeight="1">
      <c r="A625" s="52" t="s">
        <v>1038</v>
      </c>
      <c r="B625" s="30" t="s">
        <v>636</v>
      </c>
      <c r="C625" s="1">
        <f t="shared" si="171"/>
        <v>3801350</v>
      </c>
      <c r="D625" s="21">
        <f t="shared" si="170"/>
        <v>0</v>
      </c>
      <c r="E625" s="21">
        <v>0</v>
      </c>
      <c r="F625" s="21">
        <v>0</v>
      </c>
      <c r="G625" s="21">
        <v>0</v>
      </c>
      <c r="H625" s="21">
        <v>0</v>
      </c>
      <c r="I625" s="21">
        <v>0</v>
      </c>
      <c r="J625" s="21">
        <v>0</v>
      </c>
      <c r="K625" s="5">
        <v>0</v>
      </c>
      <c r="L625" s="3">
        <v>0</v>
      </c>
      <c r="M625" s="3">
        <v>679.5</v>
      </c>
      <c r="N625" s="3">
        <v>3601350</v>
      </c>
      <c r="O625" s="3">
        <v>0</v>
      </c>
      <c r="P625" s="3">
        <v>0</v>
      </c>
      <c r="Q625" s="3">
        <v>0</v>
      </c>
      <c r="R625" s="3">
        <v>0</v>
      </c>
      <c r="S625" s="3">
        <v>0</v>
      </c>
      <c r="T625" s="3">
        <v>0</v>
      </c>
      <c r="U625" s="3">
        <v>200000</v>
      </c>
      <c r="V625" s="13"/>
    </row>
    <row r="626" spans="1:22" ht="21.95" customHeight="1">
      <c r="A626" s="52" t="s">
        <v>1039</v>
      </c>
      <c r="B626" s="30" t="s">
        <v>560</v>
      </c>
      <c r="C626" s="1">
        <f t="shared" si="171"/>
        <v>8590416</v>
      </c>
      <c r="D626" s="21">
        <f t="shared" si="170"/>
        <v>2360976</v>
      </c>
      <c r="E626" s="21">
        <f>350*983.74</f>
        <v>344309</v>
      </c>
      <c r="F626" s="21">
        <f>800*983.74</f>
        <v>786992</v>
      </c>
      <c r="G626" s="21">
        <f>350*983.74</f>
        <v>344309</v>
      </c>
      <c r="H626" s="21">
        <f>500*983.74</f>
        <v>491870</v>
      </c>
      <c r="I626" s="21">
        <f>400*983.74</f>
        <v>393496</v>
      </c>
      <c r="J626" s="21">
        <v>0</v>
      </c>
      <c r="K626" s="5">
        <v>0</v>
      </c>
      <c r="L626" s="3">
        <v>0</v>
      </c>
      <c r="M626" s="3">
        <v>684.8</v>
      </c>
      <c r="N626" s="3">
        <v>3629440</v>
      </c>
      <c r="O626" s="3">
        <v>0</v>
      </c>
      <c r="P626" s="3">
        <v>0</v>
      </c>
      <c r="Q626" s="3">
        <v>800</v>
      </c>
      <c r="R626" s="3">
        <f>Q626*3000</f>
        <v>2400000</v>
      </c>
      <c r="S626" s="3">
        <v>0</v>
      </c>
      <c r="T626" s="3">
        <v>0</v>
      </c>
      <c r="U626" s="3">
        <v>200000</v>
      </c>
      <c r="V626" s="13"/>
    </row>
    <row r="627" spans="1:22" ht="21.95" customHeight="1">
      <c r="A627" s="52" t="s">
        <v>1040</v>
      </c>
      <c r="B627" s="30" t="s">
        <v>637</v>
      </c>
      <c r="C627" s="1">
        <f t="shared" si="171"/>
        <v>3698000</v>
      </c>
      <c r="D627" s="21">
        <f t="shared" si="170"/>
        <v>0</v>
      </c>
      <c r="E627" s="21">
        <v>0</v>
      </c>
      <c r="F627" s="21">
        <v>0</v>
      </c>
      <c r="G627" s="21">
        <v>0</v>
      </c>
      <c r="H627" s="21">
        <v>0</v>
      </c>
      <c r="I627" s="21">
        <v>0</v>
      </c>
      <c r="J627" s="21">
        <v>0</v>
      </c>
      <c r="K627" s="5">
        <v>0</v>
      </c>
      <c r="L627" s="3">
        <v>0</v>
      </c>
      <c r="M627" s="3">
        <v>660</v>
      </c>
      <c r="N627" s="3">
        <v>3498000</v>
      </c>
      <c r="O627" s="3">
        <v>0</v>
      </c>
      <c r="P627" s="3">
        <v>0</v>
      </c>
      <c r="Q627" s="3">
        <v>0</v>
      </c>
      <c r="R627" s="3">
        <v>0</v>
      </c>
      <c r="S627" s="3">
        <v>0</v>
      </c>
      <c r="T627" s="3">
        <v>0</v>
      </c>
      <c r="U627" s="3">
        <v>200000</v>
      </c>
      <c r="V627" s="13"/>
    </row>
    <row r="628" spans="1:22" ht="21.95" customHeight="1">
      <c r="A628" s="52" t="s">
        <v>1041</v>
      </c>
      <c r="B628" s="24" t="s">
        <v>561</v>
      </c>
      <c r="C628" s="1">
        <f t="shared" si="171"/>
        <v>2432890</v>
      </c>
      <c r="D628" s="21">
        <f t="shared" si="170"/>
        <v>0</v>
      </c>
      <c r="E628" s="21">
        <v>0</v>
      </c>
      <c r="F628" s="21">
        <v>0</v>
      </c>
      <c r="G628" s="21">
        <v>0</v>
      </c>
      <c r="H628" s="21">
        <v>0</v>
      </c>
      <c r="I628" s="21">
        <v>0</v>
      </c>
      <c r="J628" s="21">
        <v>0</v>
      </c>
      <c r="K628" s="5">
        <v>0</v>
      </c>
      <c r="L628" s="3">
        <v>0</v>
      </c>
      <c r="M628" s="3">
        <v>421.3</v>
      </c>
      <c r="N628" s="3">
        <v>2232890</v>
      </c>
      <c r="O628" s="3">
        <v>0</v>
      </c>
      <c r="P628" s="3">
        <v>0</v>
      </c>
      <c r="Q628" s="3">
        <v>0</v>
      </c>
      <c r="R628" s="3">
        <v>0</v>
      </c>
      <c r="S628" s="3">
        <v>0</v>
      </c>
      <c r="T628" s="3">
        <v>0</v>
      </c>
      <c r="U628" s="3">
        <v>200000</v>
      </c>
      <c r="V628" s="13"/>
    </row>
    <row r="629" spans="1:22" ht="21.95" customHeight="1">
      <c r="A629" s="52" t="s">
        <v>1042</v>
      </c>
      <c r="B629" s="24" t="s">
        <v>562</v>
      </c>
      <c r="C629" s="1">
        <f t="shared" si="171"/>
        <v>2442960</v>
      </c>
      <c r="D629" s="21">
        <f t="shared" si="170"/>
        <v>0</v>
      </c>
      <c r="E629" s="21">
        <v>0</v>
      </c>
      <c r="F629" s="21">
        <v>0</v>
      </c>
      <c r="G629" s="21">
        <v>0</v>
      </c>
      <c r="H629" s="21">
        <v>0</v>
      </c>
      <c r="I629" s="21">
        <v>0</v>
      </c>
      <c r="J629" s="21">
        <v>0</v>
      </c>
      <c r="K629" s="5">
        <v>0</v>
      </c>
      <c r="L629" s="3">
        <v>0</v>
      </c>
      <c r="M629" s="3">
        <v>423.2</v>
      </c>
      <c r="N629" s="3">
        <v>2242960</v>
      </c>
      <c r="O629" s="3">
        <v>0</v>
      </c>
      <c r="P629" s="3">
        <v>0</v>
      </c>
      <c r="Q629" s="3">
        <v>0</v>
      </c>
      <c r="R629" s="3">
        <v>0</v>
      </c>
      <c r="S629" s="3">
        <v>0</v>
      </c>
      <c r="T629" s="3">
        <v>0</v>
      </c>
      <c r="U629" s="3">
        <v>200000</v>
      </c>
      <c r="V629" s="13"/>
    </row>
    <row r="630" spans="1:22" ht="21.95" customHeight="1">
      <c r="A630" s="52" t="s">
        <v>1043</v>
      </c>
      <c r="B630" s="24" t="s">
        <v>563</v>
      </c>
      <c r="C630" s="1">
        <f t="shared" si="171"/>
        <v>1579060</v>
      </c>
      <c r="D630" s="21">
        <f t="shared" si="170"/>
        <v>0</v>
      </c>
      <c r="E630" s="21">
        <v>0</v>
      </c>
      <c r="F630" s="21">
        <v>0</v>
      </c>
      <c r="G630" s="21">
        <v>0</v>
      </c>
      <c r="H630" s="21">
        <v>0</v>
      </c>
      <c r="I630" s="21">
        <v>0</v>
      </c>
      <c r="J630" s="21">
        <v>0</v>
      </c>
      <c r="K630" s="5">
        <v>0</v>
      </c>
      <c r="L630" s="3">
        <v>0</v>
      </c>
      <c r="M630" s="3">
        <v>260.2</v>
      </c>
      <c r="N630" s="3">
        <v>1379060</v>
      </c>
      <c r="O630" s="3">
        <v>0</v>
      </c>
      <c r="P630" s="3">
        <v>0</v>
      </c>
      <c r="Q630" s="3">
        <v>0</v>
      </c>
      <c r="R630" s="3">
        <v>0</v>
      </c>
      <c r="S630" s="3">
        <v>0</v>
      </c>
      <c r="T630" s="3">
        <v>0</v>
      </c>
      <c r="U630" s="3">
        <v>200000</v>
      </c>
      <c r="V630" s="13"/>
    </row>
    <row r="631" spans="1:22" ht="21.95" customHeight="1">
      <c r="A631" s="52" t="s">
        <v>1044</v>
      </c>
      <c r="B631" s="24" t="s">
        <v>639</v>
      </c>
      <c r="C631" s="1">
        <f t="shared" si="171"/>
        <v>1598670</v>
      </c>
      <c r="D631" s="21">
        <f t="shared" si="170"/>
        <v>0</v>
      </c>
      <c r="E631" s="21">
        <v>0</v>
      </c>
      <c r="F631" s="21">
        <v>0</v>
      </c>
      <c r="G631" s="21">
        <v>0</v>
      </c>
      <c r="H631" s="21">
        <v>0</v>
      </c>
      <c r="I631" s="21">
        <v>0</v>
      </c>
      <c r="J631" s="21">
        <v>0</v>
      </c>
      <c r="K631" s="5">
        <v>0</v>
      </c>
      <c r="L631" s="3">
        <v>0</v>
      </c>
      <c r="M631" s="3">
        <v>263.89999999999998</v>
      </c>
      <c r="N631" s="3">
        <v>1398670</v>
      </c>
      <c r="O631" s="3">
        <v>0</v>
      </c>
      <c r="P631" s="3">
        <v>0</v>
      </c>
      <c r="Q631" s="3">
        <v>0</v>
      </c>
      <c r="R631" s="3">
        <v>0</v>
      </c>
      <c r="S631" s="3">
        <v>0</v>
      </c>
      <c r="T631" s="3">
        <v>0</v>
      </c>
      <c r="U631" s="3">
        <v>200000</v>
      </c>
      <c r="V631" s="13"/>
    </row>
    <row r="632" spans="1:22" ht="21.95" customHeight="1">
      <c r="A632" s="52" t="s">
        <v>1045</v>
      </c>
      <c r="B632" s="24" t="s">
        <v>640</v>
      </c>
      <c r="C632" s="1">
        <f t="shared" si="171"/>
        <v>1587010</v>
      </c>
      <c r="D632" s="21">
        <f t="shared" si="170"/>
        <v>0</v>
      </c>
      <c r="E632" s="21">
        <v>0</v>
      </c>
      <c r="F632" s="21">
        <v>0</v>
      </c>
      <c r="G632" s="21">
        <v>0</v>
      </c>
      <c r="H632" s="21">
        <v>0</v>
      </c>
      <c r="I632" s="21">
        <v>0</v>
      </c>
      <c r="J632" s="21">
        <v>0</v>
      </c>
      <c r="K632" s="5">
        <v>0</v>
      </c>
      <c r="L632" s="3">
        <v>0</v>
      </c>
      <c r="M632" s="3">
        <v>261.7</v>
      </c>
      <c r="N632" s="3">
        <v>1387010</v>
      </c>
      <c r="O632" s="3">
        <v>0</v>
      </c>
      <c r="P632" s="3">
        <v>0</v>
      </c>
      <c r="Q632" s="3">
        <v>0</v>
      </c>
      <c r="R632" s="3">
        <v>0</v>
      </c>
      <c r="S632" s="3">
        <v>0</v>
      </c>
      <c r="T632" s="3">
        <v>0</v>
      </c>
      <c r="U632" s="3">
        <v>200000</v>
      </c>
      <c r="V632" s="13"/>
    </row>
    <row r="633" spans="1:22" ht="21.95" customHeight="1">
      <c r="A633" s="52" t="s">
        <v>1046</v>
      </c>
      <c r="B633" s="24" t="s">
        <v>638</v>
      </c>
      <c r="C633" s="1">
        <f t="shared" si="171"/>
        <v>3160760</v>
      </c>
      <c r="D633" s="21">
        <f t="shared" si="170"/>
        <v>0</v>
      </c>
      <c r="E633" s="21">
        <v>0</v>
      </c>
      <c r="F633" s="21">
        <v>0</v>
      </c>
      <c r="G633" s="21">
        <v>0</v>
      </c>
      <c r="H633" s="21">
        <v>0</v>
      </c>
      <c r="I633" s="21">
        <v>0</v>
      </c>
      <c r="J633" s="21">
        <v>0</v>
      </c>
      <c r="K633" s="5">
        <v>0</v>
      </c>
      <c r="L633" s="3">
        <v>0</v>
      </c>
      <c r="M633" s="3">
        <v>897.2</v>
      </c>
      <c r="N633" s="3">
        <v>2960760</v>
      </c>
      <c r="O633" s="3">
        <v>0</v>
      </c>
      <c r="P633" s="3">
        <v>0</v>
      </c>
      <c r="Q633" s="3">
        <v>0</v>
      </c>
      <c r="R633" s="3">
        <v>0</v>
      </c>
      <c r="S633" s="3">
        <v>0</v>
      </c>
      <c r="T633" s="3">
        <v>0</v>
      </c>
      <c r="U633" s="3">
        <v>200000</v>
      </c>
      <c r="V633" s="13"/>
    </row>
    <row r="634" spans="1:22" ht="21.95" customHeight="1">
      <c r="A634" s="52" t="s">
        <v>1047</v>
      </c>
      <c r="B634" s="24" t="s">
        <v>641</v>
      </c>
      <c r="C634" s="1">
        <f t="shared" si="171"/>
        <v>1245319</v>
      </c>
      <c r="D634" s="21">
        <f t="shared" si="170"/>
        <v>0</v>
      </c>
      <c r="E634" s="21">
        <v>0</v>
      </c>
      <c r="F634" s="21">
        <v>0</v>
      </c>
      <c r="G634" s="21">
        <v>0</v>
      </c>
      <c r="H634" s="21">
        <v>0</v>
      </c>
      <c r="I634" s="21">
        <v>0</v>
      </c>
      <c r="J634" s="21">
        <v>0</v>
      </c>
      <c r="K634" s="5">
        <v>0</v>
      </c>
      <c r="L634" s="3">
        <v>0</v>
      </c>
      <c r="M634" s="3">
        <v>197.23</v>
      </c>
      <c r="N634" s="3">
        <v>1045319</v>
      </c>
      <c r="O634" s="3">
        <v>0</v>
      </c>
      <c r="P634" s="3">
        <v>0</v>
      </c>
      <c r="Q634" s="3">
        <v>0</v>
      </c>
      <c r="R634" s="3">
        <v>0</v>
      </c>
      <c r="S634" s="3">
        <v>0</v>
      </c>
      <c r="T634" s="3">
        <v>0</v>
      </c>
      <c r="U634" s="3">
        <v>200000</v>
      </c>
      <c r="V634" s="13"/>
    </row>
    <row r="635" spans="1:22" ht="21.95" customHeight="1">
      <c r="A635" s="52" t="s">
        <v>1048</v>
      </c>
      <c r="B635" s="24" t="s">
        <v>642</v>
      </c>
      <c r="C635" s="1">
        <f t="shared" si="171"/>
        <v>1466700</v>
      </c>
      <c r="D635" s="21">
        <f t="shared" si="170"/>
        <v>0</v>
      </c>
      <c r="E635" s="21">
        <v>0</v>
      </c>
      <c r="F635" s="21">
        <v>0</v>
      </c>
      <c r="G635" s="21">
        <v>0</v>
      </c>
      <c r="H635" s="21">
        <v>0</v>
      </c>
      <c r="I635" s="21">
        <v>0</v>
      </c>
      <c r="J635" s="21">
        <v>0</v>
      </c>
      <c r="K635" s="5">
        <v>0</v>
      </c>
      <c r="L635" s="3">
        <v>0</v>
      </c>
      <c r="M635" s="3">
        <v>239</v>
      </c>
      <c r="N635" s="3">
        <v>1266700</v>
      </c>
      <c r="O635" s="3">
        <v>0</v>
      </c>
      <c r="P635" s="3">
        <v>0</v>
      </c>
      <c r="Q635" s="3">
        <v>0</v>
      </c>
      <c r="R635" s="3">
        <v>0</v>
      </c>
      <c r="S635" s="3">
        <v>0</v>
      </c>
      <c r="T635" s="3">
        <v>0</v>
      </c>
      <c r="U635" s="3">
        <v>200000</v>
      </c>
      <c r="V635" s="13"/>
    </row>
    <row r="636" spans="1:22" ht="21.95" customHeight="1">
      <c r="A636" s="52" t="s">
        <v>1049</v>
      </c>
      <c r="B636" s="24" t="s">
        <v>643</v>
      </c>
      <c r="C636" s="1">
        <f t="shared" si="171"/>
        <v>1641600</v>
      </c>
      <c r="D636" s="21">
        <f t="shared" si="170"/>
        <v>0</v>
      </c>
      <c r="E636" s="21">
        <v>0</v>
      </c>
      <c r="F636" s="21">
        <v>0</v>
      </c>
      <c r="G636" s="21">
        <v>0</v>
      </c>
      <c r="H636" s="21">
        <v>0</v>
      </c>
      <c r="I636" s="21">
        <v>0</v>
      </c>
      <c r="J636" s="21">
        <v>0</v>
      </c>
      <c r="K636" s="5">
        <v>0</v>
      </c>
      <c r="L636" s="3">
        <v>0</v>
      </c>
      <c r="M636" s="3">
        <v>272</v>
      </c>
      <c r="N636" s="3">
        <v>1441600</v>
      </c>
      <c r="O636" s="3">
        <v>0</v>
      </c>
      <c r="P636" s="3">
        <v>0</v>
      </c>
      <c r="Q636" s="3">
        <v>0</v>
      </c>
      <c r="R636" s="3">
        <v>0</v>
      </c>
      <c r="S636" s="3">
        <v>0</v>
      </c>
      <c r="T636" s="3">
        <v>0</v>
      </c>
      <c r="U636" s="3">
        <v>200000</v>
      </c>
      <c r="V636" s="13"/>
    </row>
    <row r="637" spans="1:22" ht="21.95" customHeight="1">
      <c r="A637" s="52" t="s">
        <v>1050</v>
      </c>
      <c r="B637" s="24" t="s">
        <v>1531</v>
      </c>
      <c r="C637" s="1">
        <f t="shared" si="171"/>
        <v>20817216</v>
      </c>
      <c r="D637" s="21">
        <f t="shared" si="170"/>
        <v>2360976</v>
      </c>
      <c r="E637" s="21">
        <f>350*983.74</f>
        <v>344309</v>
      </c>
      <c r="F637" s="21">
        <f>800*983.74</f>
        <v>786992</v>
      </c>
      <c r="G637" s="21">
        <f>350*983.74</f>
        <v>344309</v>
      </c>
      <c r="H637" s="21">
        <f>500*983.74</f>
        <v>491870</v>
      </c>
      <c r="I637" s="21">
        <f>400*983.74</f>
        <v>393496</v>
      </c>
      <c r="J637" s="21">
        <v>0</v>
      </c>
      <c r="K637" s="5">
        <v>0</v>
      </c>
      <c r="L637" s="3">
        <v>0</v>
      </c>
      <c r="M637" s="3">
        <v>1200</v>
      </c>
      <c r="N637" s="3">
        <f>M637*3300</f>
        <v>3960000</v>
      </c>
      <c r="O637" s="3">
        <v>0</v>
      </c>
      <c r="P637" s="3">
        <v>0</v>
      </c>
      <c r="Q637" s="3">
        <v>5488</v>
      </c>
      <c r="R637" s="3">
        <f>Q637*2605</f>
        <v>14296240</v>
      </c>
      <c r="S637" s="3">
        <v>0</v>
      </c>
      <c r="T637" s="3">
        <v>0</v>
      </c>
      <c r="U637" s="3">
        <v>200000</v>
      </c>
      <c r="V637" s="13"/>
    </row>
    <row r="638" spans="1:22" ht="21.95" customHeight="1">
      <c r="A638" s="52" t="s">
        <v>1051</v>
      </c>
      <c r="B638" s="24" t="s">
        <v>433</v>
      </c>
      <c r="C638" s="1">
        <f t="shared" si="171"/>
        <v>1949000</v>
      </c>
      <c r="D638" s="21">
        <f t="shared" si="170"/>
        <v>0</v>
      </c>
      <c r="E638" s="21">
        <v>0</v>
      </c>
      <c r="F638" s="21">
        <v>0</v>
      </c>
      <c r="G638" s="21">
        <v>0</v>
      </c>
      <c r="H638" s="21">
        <v>0</v>
      </c>
      <c r="I638" s="21">
        <v>0</v>
      </c>
      <c r="J638" s="21">
        <v>0</v>
      </c>
      <c r="K638" s="40">
        <v>0</v>
      </c>
      <c r="L638" s="21">
        <v>0</v>
      </c>
      <c r="M638" s="21">
        <v>330</v>
      </c>
      <c r="N638" s="21">
        <v>1749000</v>
      </c>
      <c r="O638" s="21">
        <v>0</v>
      </c>
      <c r="P638" s="21">
        <v>0</v>
      </c>
      <c r="Q638" s="21">
        <v>0</v>
      </c>
      <c r="R638" s="21">
        <v>0</v>
      </c>
      <c r="S638" s="21">
        <v>0</v>
      </c>
      <c r="T638" s="3">
        <v>0</v>
      </c>
      <c r="U638" s="21">
        <v>200000</v>
      </c>
    </row>
    <row r="639" spans="1:22" ht="21.95" customHeight="1">
      <c r="A639" s="52" t="s">
        <v>1052</v>
      </c>
      <c r="B639" s="24" t="s">
        <v>644</v>
      </c>
      <c r="C639" s="1">
        <f t="shared" si="171"/>
        <v>3534760</v>
      </c>
      <c r="D639" s="21">
        <f t="shared" si="170"/>
        <v>0</v>
      </c>
      <c r="E639" s="21">
        <v>0</v>
      </c>
      <c r="F639" s="21">
        <v>0</v>
      </c>
      <c r="G639" s="21">
        <v>0</v>
      </c>
      <c r="H639" s="21">
        <v>0</v>
      </c>
      <c r="I639" s="21">
        <v>0</v>
      </c>
      <c r="J639" s="21">
        <v>0</v>
      </c>
      <c r="K639" s="5">
        <v>0</v>
      </c>
      <c r="L639" s="3">
        <v>0</v>
      </c>
      <c r="M639" s="3">
        <v>629.20000000000005</v>
      </c>
      <c r="N639" s="3">
        <v>3334760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200000</v>
      </c>
      <c r="V639" s="13"/>
    </row>
    <row r="640" spans="1:22" ht="21.95" customHeight="1">
      <c r="A640" s="52" t="s">
        <v>1053</v>
      </c>
      <c r="B640" s="24" t="s">
        <v>645</v>
      </c>
      <c r="C640" s="1">
        <f t="shared" si="171"/>
        <v>3226300</v>
      </c>
      <c r="D640" s="21">
        <f t="shared" si="170"/>
        <v>0</v>
      </c>
      <c r="E640" s="21">
        <v>0</v>
      </c>
      <c r="F640" s="21">
        <v>0</v>
      </c>
      <c r="G640" s="21">
        <v>0</v>
      </c>
      <c r="H640" s="21">
        <v>0</v>
      </c>
      <c r="I640" s="21">
        <v>0</v>
      </c>
      <c r="J640" s="21">
        <v>0</v>
      </c>
      <c r="K640" s="5">
        <v>0</v>
      </c>
      <c r="L640" s="3">
        <v>0</v>
      </c>
      <c r="M640" s="3">
        <v>571</v>
      </c>
      <c r="N640" s="3">
        <v>3026300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200000</v>
      </c>
      <c r="V640" s="13"/>
    </row>
    <row r="641" spans="1:22" ht="21.95" customHeight="1">
      <c r="A641" s="52" t="s">
        <v>1054</v>
      </c>
      <c r="B641" s="24" t="s">
        <v>646</v>
      </c>
      <c r="C641" s="1">
        <f t="shared" si="171"/>
        <v>2749300</v>
      </c>
      <c r="D641" s="21">
        <f t="shared" si="170"/>
        <v>0</v>
      </c>
      <c r="E641" s="21">
        <v>0</v>
      </c>
      <c r="F641" s="21">
        <v>0</v>
      </c>
      <c r="G641" s="21">
        <v>0</v>
      </c>
      <c r="H641" s="21">
        <v>0</v>
      </c>
      <c r="I641" s="21">
        <v>0</v>
      </c>
      <c r="J641" s="21">
        <v>0</v>
      </c>
      <c r="K641" s="5">
        <v>0</v>
      </c>
      <c r="L641" s="3">
        <v>0</v>
      </c>
      <c r="M641" s="3">
        <v>481</v>
      </c>
      <c r="N641" s="3">
        <v>2549300</v>
      </c>
      <c r="O641" s="3">
        <v>0</v>
      </c>
      <c r="P641" s="3">
        <v>0</v>
      </c>
      <c r="Q641" s="3">
        <v>0</v>
      </c>
      <c r="R641" s="3">
        <v>0</v>
      </c>
      <c r="S641" s="3">
        <v>0</v>
      </c>
      <c r="T641" s="3">
        <v>0</v>
      </c>
      <c r="U641" s="3">
        <v>200000</v>
      </c>
      <c r="V641" s="13"/>
    </row>
    <row r="642" spans="1:22" ht="21.95" customHeight="1">
      <c r="A642" s="52" t="s">
        <v>1055</v>
      </c>
      <c r="B642" s="24" t="s">
        <v>647</v>
      </c>
      <c r="C642" s="1">
        <f t="shared" si="171"/>
        <v>13041900</v>
      </c>
      <c r="D642" s="21">
        <f t="shared" si="170"/>
        <v>0</v>
      </c>
      <c r="E642" s="21">
        <v>0</v>
      </c>
      <c r="F642" s="21">
        <v>0</v>
      </c>
      <c r="G642" s="21">
        <v>0</v>
      </c>
      <c r="H642" s="21">
        <v>0</v>
      </c>
      <c r="I642" s="21">
        <v>0</v>
      </c>
      <c r="J642" s="21">
        <v>0</v>
      </c>
      <c r="K642" s="5">
        <v>0</v>
      </c>
      <c r="L642" s="3">
        <v>0</v>
      </c>
      <c r="M642" s="3">
        <v>2423</v>
      </c>
      <c r="N642" s="3">
        <v>12841900</v>
      </c>
      <c r="O642" s="3">
        <v>0</v>
      </c>
      <c r="P642" s="3">
        <v>0</v>
      </c>
      <c r="Q642" s="3">
        <v>0</v>
      </c>
      <c r="R642" s="3">
        <v>0</v>
      </c>
      <c r="S642" s="3">
        <v>0</v>
      </c>
      <c r="T642" s="3">
        <v>0</v>
      </c>
      <c r="U642" s="3">
        <v>200000</v>
      </c>
      <c r="V642" s="13"/>
    </row>
    <row r="643" spans="1:22" ht="21.95" customHeight="1">
      <c r="A643" s="52" t="s">
        <v>1056</v>
      </c>
      <c r="B643" s="24" t="s">
        <v>648</v>
      </c>
      <c r="C643" s="1">
        <f t="shared" si="171"/>
        <v>2975900</v>
      </c>
      <c r="D643" s="21">
        <f t="shared" si="170"/>
        <v>0</v>
      </c>
      <c r="E643" s="21">
        <v>0</v>
      </c>
      <c r="F643" s="21">
        <v>0</v>
      </c>
      <c r="G643" s="21">
        <v>0</v>
      </c>
      <c r="H643" s="21">
        <v>0</v>
      </c>
      <c r="I643" s="21">
        <v>0</v>
      </c>
      <c r="J643" s="21">
        <v>0</v>
      </c>
      <c r="K643" s="5">
        <v>0</v>
      </c>
      <c r="L643" s="3">
        <v>0</v>
      </c>
      <c r="M643" s="3">
        <v>278</v>
      </c>
      <c r="N643" s="3">
        <v>1473400</v>
      </c>
      <c r="O643" s="3">
        <v>0</v>
      </c>
      <c r="P643" s="3">
        <v>0</v>
      </c>
      <c r="Q643" s="3">
        <v>500</v>
      </c>
      <c r="R643" s="3">
        <v>1302500</v>
      </c>
      <c r="S643" s="3">
        <v>0</v>
      </c>
      <c r="T643" s="3">
        <v>0</v>
      </c>
      <c r="U643" s="3">
        <v>200000</v>
      </c>
      <c r="V643" s="13"/>
    </row>
    <row r="644" spans="1:22" ht="21.95" customHeight="1">
      <c r="A644" s="52" t="s">
        <v>1499</v>
      </c>
      <c r="B644" s="30" t="s">
        <v>649</v>
      </c>
      <c r="C644" s="1">
        <f t="shared" si="171"/>
        <v>1678700</v>
      </c>
      <c r="D644" s="21">
        <f t="shared" ref="D644:D707" si="172">SUM(E644:J644)</f>
        <v>0</v>
      </c>
      <c r="E644" s="21">
        <v>0</v>
      </c>
      <c r="F644" s="21">
        <v>0</v>
      </c>
      <c r="G644" s="21">
        <v>0</v>
      </c>
      <c r="H644" s="21">
        <v>0</v>
      </c>
      <c r="I644" s="21">
        <v>0</v>
      </c>
      <c r="J644" s="21">
        <v>0</v>
      </c>
      <c r="K644" s="5">
        <v>0</v>
      </c>
      <c r="L644" s="3">
        <v>0</v>
      </c>
      <c r="M644" s="3">
        <v>279</v>
      </c>
      <c r="N644" s="3">
        <v>1478700</v>
      </c>
      <c r="O644" s="3">
        <v>0</v>
      </c>
      <c r="P644" s="3">
        <v>0</v>
      </c>
      <c r="Q644" s="3">
        <v>0</v>
      </c>
      <c r="R644" s="3">
        <v>0</v>
      </c>
      <c r="S644" s="3">
        <v>0</v>
      </c>
      <c r="T644" s="3">
        <v>0</v>
      </c>
      <c r="U644" s="3">
        <v>200000</v>
      </c>
      <c r="V644" s="13"/>
    </row>
    <row r="645" spans="1:22" ht="21.95" customHeight="1">
      <c r="A645" s="52" t="s">
        <v>1057</v>
      </c>
      <c r="B645" s="24" t="s">
        <v>650</v>
      </c>
      <c r="C645" s="1">
        <f t="shared" si="171"/>
        <v>809500</v>
      </c>
      <c r="D645" s="21">
        <f t="shared" si="172"/>
        <v>0</v>
      </c>
      <c r="E645" s="21">
        <v>0</v>
      </c>
      <c r="F645" s="21">
        <v>0</v>
      </c>
      <c r="G645" s="21">
        <v>0</v>
      </c>
      <c r="H645" s="21">
        <v>0</v>
      </c>
      <c r="I645" s="21">
        <v>0</v>
      </c>
      <c r="J645" s="21">
        <v>0</v>
      </c>
      <c r="K645" s="5">
        <v>0</v>
      </c>
      <c r="L645" s="3">
        <v>0</v>
      </c>
      <c r="M645" s="3">
        <v>115</v>
      </c>
      <c r="N645" s="3">
        <v>609500</v>
      </c>
      <c r="O645" s="3">
        <v>0</v>
      </c>
      <c r="P645" s="3">
        <v>0</v>
      </c>
      <c r="Q645" s="3">
        <v>0</v>
      </c>
      <c r="R645" s="3">
        <v>0</v>
      </c>
      <c r="S645" s="3">
        <v>0</v>
      </c>
      <c r="T645" s="3">
        <v>0</v>
      </c>
      <c r="U645" s="3">
        <v>200000</v>
      </c>
      <c r="V645" s="13"/>
    </row>
    <row r="646" spans="1:22" ht="21.95" customHeight="1">
      <c r="A646" s="52" t="s">
        <v>1058</v>
      </c>
      <c r="B646" s="24" t="s">
        <v>564</v>
      </c>
      <c r="C646" s="1">
        <f t="shared" si="171"/>
        <v>2791700</v>
      </c>
      <c r="D646" s="21">
        <f t="shared" si="172"/>
        <v>0</v>
      </c>
      <c r="E646" s="21">
        <v>0</v>
      </c>
      <c r="F646" s="21">
        <v>0</v>
      </c>
      <c r="G646" s="21">
        <v>0</v>
      </c>
      <c r="H646" s="21">
        <v>0</v>
      </c>
      <c r="I646" s="21">
        <v>0</v>
      </c>
      <c r="J646" s="21">
        <v>0</v>
      </c>
      <c r="K646" s="5">
        <v>0</v>
      </c>
      <c r="L646" s="3">
        <v>0</v>
      </c>
      <c r="M646" s="3">
        <v>489</v>
      </c>
      <c r="N646" s="3">
        <v>2591700</v>
      </c>
      <c r="O646" s="3">
        <v>0</v>
      </c>
      <c r="P646" s="3">
        <v>0</v>
      </c>
      <c r="Q646" s="3">
        <v>0</v>
      </c>
      <c r="R646" s="3">
        <v>0</v>
      </c>
      <c r="S646" s="3">
        <v>0</v>
      </c>
      <c r="T646" s="3">
        <v>0</v>
      </c>
      <c r="U646" s="3">
        <v>200000</v>
      </c>
      <c r="V646" s="13"/>
    </row>
    <row r="647" spans="1:22" ht="21.95" customHeight="1">
      <c r="A647" s="52" t="s">
        <v>1059</v>
      </c>
      <c r="B647" s="24" t="s">
        <v>1923</v>
      </c>
      <c r="C647" s="1">
        <f t="shared" si="171"/>
        <v>13400000</v>
      </c>
      <c r="D647" s="21">
        <f t="shared" si="172"/>
        <v>0</v>
      </c>
      <c r="E647" s="21">
        <v>0</v>
      </c>
      <c r="F647" s="21">
        <v>0</v>
      </c>
      <c r="G647" s="21">
        <v>0</v>
      </c>
      <c r="H647" s="21">
        <v>0</v>
      </c>
      <c r="I647" s="21">
        <v>0</v>
      </c>
      <c r="J647" s="21">
        <v>0</v>
      </c>
      <c r="K647" s="5">
        <v>6</v>
      </c>
      <c r="L647" s="3">
        <f>K647*2150000</f>
        <v>12900000</v>
      </c>
      <c r="M647" s="3">
        <v>0</v>
      </c>
      <c r="N647" s="3">
        <v>0</v>
      </c>
      <c r="O647" s="3">
        <v>0</v>
      </c>
      <c r="P647" s="3">
        <v>0</v>
      </c>
      <c r="Q647" s="3">
        <v>0</v>
      </c>
      <c r="R647" s="3">
        <v>0</v>
      </c>
      <c r="S647" s="3">
        <v>0</v>
      </c>
      <c r="T647" s="3">
        <v>0</v>
      </c>
      <c r="U647" s="3">
        <v>500000</v>
      </c>
      <c r="V647" s="13"/>
    </row>
    <row r="648" spans="1:22" ht="21.95" customHeight="1">
      <c r="A648" s="52" t="s">
        <v>1060</v>
      </c>
      <c r="B648" s="24" t="s">
        <v>651</v>
      </c>
      <c r="C648" s="1">
        <f t="shared" si="171"/>
        <v>1869500</v>
      </c>
      <c r="D648" s="21">
        <f t="shared" si="172"/>
        <v>0</v>
      </c>
      <c r="E648" s="21">
        <v>0</v>
      </c>
      <c r="F648" s="21">
        <v>0</v>
      </c>
      <c r="G648" s="21">
        <v>0</v>
      </c>
      <c r="H648" s="21">
        <v>0</v>
      </c>
      <c r="I648" s="21">
        <v>0</v>
      </c>
      <c r="J648" s="21">
        <v>0</v>
      </c>
      <c r="K648" s="5">
        <v>0</v>
      </c>
      <c r="L648" s="3">
        <v>0</v>
      </c>
      <c r="M648" s="3">
        <v>315</v>
      </c>
      <c r="N648" s="3">
        <v>1669500</v>
      </c>
      <c r="O648" s="3">
        <v>0</v>
      </c>
      <c r="P648" s="3">
        <v>0</v>
      </c>
      <c r="Q648" s="3">
        <v>0</v>
      </c>
      <c r="R648" s="3">
        <v>0</v>
      </c>
      <c r="S648" s="3">
        <v>0</v>
      </c>
      <c r="T648" s="3">
        <v>0</v>
      </c>
      <c r="U648" s="3">
        <v>200000</v>
      </c>
      <c r="V648" s="13"/>
    </row>
    <row r="649" spans="1:22" ht="21.95" customHeight="1">
      <c r="A649" s="52" t="s">
        <v>1061</v>
      </c>
      <c r="B649" s="30" t="s">
        <v>565</v>
      </c>
      <c r="C649" s="1">
        <f t="shared" si="171"/>
        <v>1869500</v>
      </c>
      <c r="D649" s="21">
        <f t="shared" si="172"/>
        <v>0</v>
      </c>
      <c r="E649" s="21">
        <v>0</v>
      </c>
      <c r="F649" s="21">
        <v>0</v>
      </c>
      <c r="G649" s="21">
        <v>0</v>
      </c>
      <c r="H649" s="21">
        <v>0</v>
      </c>
      <c r="I649" s="21">
        <v>0</v>
      </c>
      <c r="J649" s="21">
        <v>0</v>
      </c>
      <c r="K649" s="5">
        <v>0</v>
      </c>
      <c r="L649" s="3">
        <v>0</v>
      </c>
      <c r="M649" s="3">
        <v>315</v>
      </c>
      <c r="N649" s="3">
        <v>1669500</v>
      </c>
      <c r="O649" s="3">
        <v>0</v>
      </c>
      <c r="P649" s="3">
        <v>0</v>
      </c>
      <c r="Q649" s="3">
        <v>0</v>
      </c>
      <c r="R649" s="3">
        <v>0</v>
      </c>
      <c r="S649" s="3">
        <v>0</v>
      </c>
      <c r="T649" s="3">
        <v>0</v>
      </c>
      <c r="U649" s="3">
        <v>200000</v>
      </c>
      <c r="V649" s="13"/>
    </row>
    <row r="650" spans="1:22" ht="21.95" customHeight="1">
      <c r="A650" s="52" t="s">
        <v>1062</v>
      </c>
      <c r="B650" s="24" t="s">
        <v>486</v>
      </c>
      <c r="C650" s="1">
        <f t="shared" si="171"/>
        <v>11871200</v>
      </c>
      <c r="D650" s="21">
        <f t="shared" si="172"/>
        <v>11671200</v>
      </c>
      <c r="E650" s="21">
        <f>350*4863</f>
        <v>1702050</v>
      </c>
      <c r="F650" s="21">
        <f>800*4863</f>
        <v>3890400</v>
      </c>
      <c r="G650" s="21">
        <f>350*4863</f>
        <v>1702050</v>
      </c>
      <c r="H650" s="21">
        <f>500*4863</f>
        <v>2431500</v>
      </c>
      <c r="I650" s="21">
        <f>400*4863</f>
        <v>1945200</v>
      </c>
      <c r="J650" s="21">
        <v>0</v>
      </c>
      <c r="K650" s="40">
        <v>0</v>
      </c>
      <c r="L650" s="21">
        <v>0</v>
      </c>
      <c r="M650" s="21">
        <v>0</v>
      </c>
      <c r="N650" s="21">
        <v>0</v>
      </c>
      <c r="O650" s="21">
        <v>0</v>
      </c>
      <c r="P650" s="21">
        <v>0</v>
      </c>
      <c r="Q650" s="21">
        <v>0</v>
      </c>
      <c r="R650" s="21">
        <v>0</v>
      </c>
      <c r="S650" s="21">
        <v>0</v>
      </c>
      <c r="T650" s="3">
        <v>0</v>
      </c>
      <c r="U650" s="21">
        <v>200000</v>
      </c>
    </row>
    <row r="651" spans="1:22" ht="21.95" customHeight="1">
      <c r="A651" s="52" t="s">
        <v>1063</v>
      </c>
      <c r="B651" s="24" t="s">
        <v>471</v>
      </c>
      <c r="C651" s="1">
        <f t="shared" si="171"/>
        <v>19886000</v>
      </c>
      <c r="D651" s="21">
        <f t="shared" si="172"/>
        <v>19686000</v>
      </c>
      <c r="E651" s="21">
        <f>350*8202.5</f>
        <v>2870875</v>
      </c>
      <c r="F651" s="21">
        <f>800*8202.5</f>
        <v>6562000</v>
      </c>
      <c r="G651" s="21">
        <f>350*8202.5</f>
        <v>2870875</v>
      </c>
      <c r="H651" s="21">
        <f>500*8202.5</f>
        <v>4101250</v>
      </c>
      <c r="I651" s="21">
        <f>400*8202.5</f>
        <v>3281000</v>
      </c>
      <c r="J651" s="21">
        <v>0</v>
      </c>
      <c r="K651" s="40">
        <v>0</v>
      </c>
      <c r="L651" s="21">
        <v>0</v>
      </c>
      <c r="M651" s="21">
        <v>0</v>
      </c>
      <c r="N651" s="21">
        <v>0</v>
      </c>
      <c r="O651" s="21">
        <v>0</v>
      </c>
      <c r="P651" s="21">
        <v>0</v>
      </c>
      <c r="Q651" s="21">
        <v>0</v>
      </c>
      <c r="R651" s="21">
        <v>0</v>
      </c>
      <c r="S651" s="21">
        <v>0</v>
      </c>
      <c r="T651" s="3">
        <v>0</v>
      </c>
      <c r="U651" s="21">
        <v>200000</v>
      </c>
    </row>
    <row r="652" spans="1:22" ht="21.95" customHeight="1">
      <c r="A652" s="52" t="s">
        <v>1064</v>
      </c>
      <c r="B652" s="24" t="s">
        <v>653</v>
      </c>
      <c r="C652" s="1">
        <f t="shared" si="171"/>
        <v>3390600</v>
      </c>
      <c r="D652" s="21">
        <f t="shared" si="172"/>
        <v>0</v>
      </c>
      <c r="E652" s="21">
        <v>0</v>
      </c>
      <c r="F652" s="21">
        <v>0</v>
      </c>
      <c r="G652" s="21">
        <v>0</v>
      </c>
      <c r="H652" s="21">
        <v>0</v>
      </c>
      <c r="I652" s="21">
        <v>0</v>
      </c>
      <c r="J652" s="21">
        <v>0</v>
      </c>
      <c r="K652" s="5">
        <v>0</v>
      </c>
      <c r="L652" s="3">
        <v>0</v>
      </c>
      <c r="M652" s="3">
        <v>602</v>
      </c>
      <c r="N652" s="3">
        <v>3190600</v>
      </c>
      <c r="O652" s="3">
        <v>0</v>
      </c>
      <c r="P652" s="3">
        <v>0</v>
      </c>
      <c r="Q652" s="3">
        <v>0</v>
      </c>
      <c r="R652" s="3">
        <v>0</v>
      </c>
      <c r="S652" s="3">
        <v>0</v>
      </c>
      <c r="T652" s="3">
        <v>0</v>
      </c>
      <c r="U652" s="3">
        <v>200000</v>
      </c>
      <c r="V652" s="13"/>
    </row>
    <row r="653" spans="1:22" ht="21.95" customHeight="1">
      <c r="A653" s="52" t="s">
        <v>1065</v>
      </c>
      <c r="B653" s="24" t="s">
        <v>566</v>
      </c>
      <c r="C653" s="1">
        <f t="shared" si="171"/>
        <v>4016000</v>
      </c>
      <c r="D653" s="21">
        <f t="shared" si="172"/>
        <v>0</v>
      </c>
      <c r="E653" s="21">
        <v>0</v>
      </c>
      <c r="F653" s="21">
        <v>0</v>
      </c>
      <c r="G653" s="21">
        <v>0</v>
      </c>
      <c r="H653" s="21">
        <v>0</v>
      </c>
      <c r="I653" s="21">
        <v>0</v>
      </c>
      <c r="J653" s="21">
        <v>0</v>
      </c>
      <c r="K653" s="5">
        <v>0</v>
      </c>
      <c r="L653" s="3">
        <v>0</v>
      </c>
      <c r="M653" s="3">
        <v>720</v>
      </c>
      <c r="N653" s="3">
        <v>3816000</v>
      </c>
      <c r="O653" s="3">
        <v>0</v>
      </c>
      <c r="P653" s="3">
        <v>0</v>
      </c>
      <c r="Q653" s="3">
        <v>0</v>
      </c>
      <c r="R653" s="3">
        <v>0</v>
      </c>
      <c r="S653" s="3">
        <v>0</v>
      </c>
      <c r="T653" s="3">
        <v>0</v>
      </c>
      <c r="U653" s="3">
        <v>200000</v>
      </c>
      <c r="V653" s="13"/>
    </row>
    <row r="654" spans="1:22" ht="21.95" customHeight="1">
      <c r="A654" s="52" t="s">
        <v>1066</v>
      </c>
      <c r="B654" s="24" t="s">
        <v>652</v>
      </c>
      <c r="C654" s="1">
        <f t="shared" si="171"/>
        <v>3618500</v>
      </c>
      <c r="D654" s="21">
        <f t="shared" si="172"/>
        <v>0</v>
      </c>
      <c r="E654" s="21">
        <v>0</v>
      </c>
      <c r="F654" s="21">
        <v>0</v>
      </c>
      <c r="G654" s="21">
        <v>0</v>
      </c>
      <c r="H654" s="21">
        <v>0</v>
      </c>
      <c r="I654" s="21">
        <v>0</v>
      </c>
      <c r="J654" s="21">
        <v>0</v>
      </c>
      <c r="K654" s="5">
        <v>0</v>
      </c>
      <c r="L654" s="3">
        <v>0</v>
      </c>
      <c r="M654" s="3">
        <v>645</v>
      </c>
      <c r="N654" s="3">
        <v>3418500</v>
      </c>
      <c r="O654" s="3">
        <v>0</v>
      </c>
      <c r="P654" s="3">
        <v>0</v>
      </c>
      <c r="Q654" s="3">
        <v>0</v>
      </c>
      <c r="R654" s="3">
        <v>0</v>
      </c>
      <c r="S654" s="3">
        <v>0</v>
      </c>
      <c r="T654" s="3">
        <v>0</v>
      </c>
      <c r="U654" s="3">
        <v>200000</v>
      </c>
      <c r="V654" s="13"/>
    </row>
    <row r="655" spans="1:22" ht="21.95" customHeight="1">
      <c r="A655" s="52" t="s">
        <v>1067</v>
      </c>
      <c r="B655" s="24" t="s">
        <v>654</v>
      </c>
      <c r="C655" s="1">
        <f t="shared" si="171"/>
        <v>10644922</v>
      </c>
      <c r="D655" s="21">
        <f t="shared" si="172"/>
        <v>2918112</v>
      </c>
      <c r="E655" s="21">
        <f>350*1215.88</f>
        <v>425558.00000000006</v>
      </c>
      <c r="F655" s="21">
        <f>800*1215.88</f>
        <v>972704.00000000012</v>
      </c>
      <c r="G655" s="21">
        <f>350*1215.88</f>
        <v>425558.00000000006</v>
      </c>
      <c r="H655" s="21">
        <f>500*1215.88</f>
        <v>607940</v>
      </c>
      <c r="I655" s="21">
        <f>400*1215.88</f>
        <v>486352.00000000006</v>
      </c>
      <c r="J655" s="21">
        <v>0</v>
      </c>
      <c r="K655" s="5">
        <v>0</v>
      </c>
      <c r="L655" s="3">
        <v>0</v>
      </c>
      <c r="M655" s="3">
        <v>908</v>
      </c>
      <c r="N655" s="3">
        <v>4812400</v>
      </c>
      <c r="O655" s="3">
        <v>0</v>
      </c>
      <c r="P655" s="3">
        <v>0</v>
      </c>
      <c r="Q655" s="3">
        <v>1042</v>
      </c>
      <c r="R655" s="3">
        <v>2714410</v>
      </c>
      <c r="S655" s="3">
        <v>0</v>
      </c>
      <c r="T655" s="3">
        <v>0</v>
      </c>
      <c r="U655" s="3">
        <v>200000</v>
      </c>
      <c r="V655" s="13"/>
    </row>
    <row r="656" spans="1:22" ht="21.95" customHeight="1">
      <c r="A656" s="52" t="s">
        <v>1068</v>
      </c>
      <c r="B656" s="24" t="s">
        <v>567</v>
      </c>
      <c r="C656" s="1">
        <f t="shared" si="171"/>
        <v>2224600</v>
      </c>
      <c r="D656" s="21">
        <f t="shared" si="172"/>
        <v>0</v>
      </c>
      <c r="E656" s="21">
        <v>0</v>
      </c>
      <c r="F656" s="21">
        <v>0</v>
      </c>
      <c r="G656" s="21">
        <v>0</v>
      </c>
      <c r="H656" s="21">
        <v>0</v>
      </c>
      <c r="I656" s="21">
        <v>0</v>
      </c>
      <c r="J656" s="21">
        <v>0</v>
      </c>
      <c r="K656" s="5">
        <v>0</v>
      </c>
      <c r="L656" s="3">
        <v>0</v>
      </c>
      <c r="M656" s="3">
        <v>382</v>
      </c>
      <c r="N656" s="3">
        <v>2024600</v>
      </c>
      <c r="O656" s="3">
        <v>0</v>
      </c>
      <c r="P656" s="3">
        <v>0</v>
      </c>
      <c r="Q656" s="3">
        <v>0</v>
      </c>
      <c r="R656" s="3">
        <v>0</v>
      </c>
      <c r="S656" s="3">
        <v>0</v>
      </c>
      <c r="T656" s="3">
        <v>0</v>
      </c>
      <c r="U656" s="3">
        <v>200000</v>
      </c>
      <c r="V656" s="13"/>
    </row>
    <row r="657" spans="1:22" ht="21.95" customHeight="1">
      <c r="A657" s="52" t="s">
        <v>1069</v>
      </c>
      <c r="B657" s="24" t="s">
        <v>568</v>
      </c>
      <c r="C657" s="1">
        <f t="shared" si="171"/>
        <v>2214000</v>
      </c>
      <c r="D657" s="21">
        <f t="shared" si="172"/>
        <v>0</v>
      </c>
      <c r="E657" s="21">
        <v>0</v>
      </c>
      <c r="F657" s="21">
        <v>0</v>
      </c>
      <c r="G657" s="21">
        <v>0</v>
      </c>
      <c r="H657" s="21">
        <v>0</v>
      </c>
      <c r="I657" s="21">
        <v>0</v>
      </c>
      <c r="J657" s="21">
        <v>0</v>
      </c>
      <c r="K657" s="5">
        <v>0</v>
      </c>
      <c r="L657" s="3">
        <v>0</v>
      </c>
      <c r="M657" s="3">
        <v>380</v>
      </c>
      <c r="N657" s="3">
        <v>2014000</v>
      </c>
      <c r="O657" s="3">
        <v>0</v>
      </c>
      <c r="P657" s="3">
        <v>0</v>
      </c>
      <c r="Q657" s="3">
        <v>0</v>
      </c>
      <c r="R657" s="3">
        <v>0</v>
      </c>
      <c r="S657" s="3">
        <v>0</v>
      </c>
      <c r="T657" s="3">
        <v>0</v>
      </c>
      <c r="U657" s="3">
        <v>200000</v>
      </c>
      <c r="V657" s="13"/>
    </row>
    <row r="658" spans="1:22" ht="21.95" customHeight="1">
      <c r="A658" s="52" t="s">
        <v>1070</v>
      </c>
      <c r="B658" s="24" t="s">
        <v>655</v>
      </c>
      <c r="C658" s="1">
        <f t="shared" si="171"/>
        <v>1631000</v>
      </c>
      <c r="D658" s="21">
        <f t="shared" si="172"/>
        <v>0</v>
      </c>
      <c r="E658" s="21">
        <v>0</v>
      </c>
      <c r="F658" s="21">
        <v>0</v>
      </c>
      <c r="G658" s="21">
        <v>0</v>
      </c>
      <c r="H658" s="21">
        <v>0</v>
      </c>
      <c r="I658" s="21">
        <v>0</v>
      </c>
      <c r="J658" s="21">
        <v>0</v>
      </c>
      <c r="K658" s="5">
        <v>0</v>
      </c>
      <c r="L658" s="3">
        <v>0</v>
      </c>
      <c r="M658" s="3">
        <v>270</v>
      </c>
      <c r="N658" s="3">
        <v>1431000</v>
      </c>
      <c r="O658" s="3">
        <v>0</v>
      </c>
      <c r="P658" s="3">
        <v>0</v>
      </c>
      <c r="Q658" s="3">
        <v>0</v>
      </c>
      <c r="R658" s="3">
        <v>0</v>
      </c>
      <c r="S658" s="3">
        <v>0</v>
      </c>
      <c r="T658" s="3">
        <v>0</v>
      </c>
      <c r="U658" s="3">
        <v>200000</v>
      </c>
      <c r="V658" s="13"/>
    </row>
    <row r="659" spans="1:22" ht="21.95" customHeight="1">
      <c r="A659" s="52" t="s">
        <v>1071</v>
      </c>
      <c r="B659" s="24" t="s">
        <v>656</v>
      </c>
      <c r="C659" s="1">
        <f t="shared" si="171"/>
        <v>1625700</v>
      </c>
      <c r="D659" s="21">
        <f t="shared" si="172"/>
        <v>0</v>
      </c>
      <c r="E659" s="21">
        <v>0</v>
      </c>
      <c r="F659" s="21">
        <v>0</v>
      </c>
      <c r="G659" s="21">
        <v>0</v>
      </c>
      <c r="H659" s="21">
        <v>0</v>
      </c>
      <c r="I659" s="21">
        <v>0</v>
      </c>
      <c r="J659" s="21">
        <v>0</v>
      </c>
      <c r="K659" s="5">
        <v>0</v>
      </c>
      <c r="L659" s="3">
        <v>0</v>
      </c>
      <c r="M659" s="3">
        <v>269</v>
      </c>
      <c r="N659" s="3">
        <v>1425700</v>
      </c>
      <c r="O659" s="3">
        <v>0</v>
      </c>
      <c r="P659" s="3">
        <v>0</v>
      </c>
      <c r="Q659" s="3">
        <v>0</v>
      </c>
      <c r="R659" s="3">
        <v>0</v>
      </c>
      <c r="S659" s="3">
        <v>0</v>
      </c>
      <c r="T659" s="3">
        <v>0</v>
      </c>
      <c r="U659" s="3">
        <v>200000</v>
      </c>
      <c r="V659" s="13"/>
    </row>
    <row r="660" spans="1:22" ht="21.95" customHeight="1">
      <c r="A660" s="52" t="s">
        <v>1072</v>
      </c>
      <c r="B660" s="24" t="s">
        <v>657</v>
      </c>
      <c r="C660" s="1">
        <f t="shared" si="171"/>
        <v>858235</v>
      </c>
      <c r="D660" s="21">
        <f t="shared" si="172"/>
        <v>658235</v>
      </c>
      <c r="E660" s="3">
        <f>350*280.1</f>
        <v>98035.000000000015</v>
      </c>
      <c r="F660" s="3">
        <f>800*280.1</f>
        <v>224080.00000000003</v>
      </c>
      <c r="G660" s="3">
        <f>300*280.1</f>
        <v>84030</v>
      </c>
      <c r="H660" s="3">
        <f>500*280.1</f>
        <v>140050</v>
      </c>
      <c r="I660" s="3">
        <f>400*280.1</f>
        <v>112040.00000000001</v>
      </c>
      <c r="J660" s="3">
        <f>350*0</f>
        <v>0</v>
      </c>
      <c r="K660" s="5">
        <v>0</v>
      </c>
      <c r="L660" s="3">
        <v>0</v>
      </c>
      <c r="M660" s="3">
        <v>0</v>
      </c>
      <c r="N660" s="3">
        <v>0</v>
      </c>
      <c r="O660" s="3">
        <v>0</v>
      </c>
      <c r="P660" s="3">
        <v>0</v>
      </c>
      <c r="Q660" s="3">
        <v>0</v>
      </c>
      <c r="R660" s="3">
        <v>0</v>
      </c>
      <c r="S660" s="3">
        <v>0</v>
      </c>
      <c r="T660" s="3">
        <v>0</v>
      </c>
      <c r="U660" s="3">
        <v>200000</v>
      </c>
      <c r="V660" s="13"/>
    </row>
    <row r="661" spans="1:22" ht="21.95" customHeight="1">
      <c r="A661" s="52" t="s">
        <v>1073</v>
      </c>
      <c r="B661" s="24" t="s">
        <v>658</v>
      </c>
      <c r="C661" s="1">
        <f t="shared" si="171"/>
        <v>1276430</v>
      </c>
      <c r="D661" s="21">
        <f t="shared" si="172"/>
        <v>0</v>
      </c>
      <c r="E661" s="21">
        <v>0</v>
      </c>
      <c r="F661" s="21">
        <v>0</v>
      </c>
      <c r="G661" s="21">
        <v>0</v>
      </c>
      <c r="H661" s="21">
        <v>0</v>
      </c>
      <c r="I661" s="21">
        <v>0</v>
      </c>
      <c r="J661" s="21">
        <v>0</v>
      </c>
      <c r="K661" s="5">
        <v>0</v>
      </c>
      <c r="L661" s="3">
        <v>0</v>
      </c>
      <c r="M661" s="3">
        <v>203.1</v>
      </c>
      <c r="N661" s="3">
        <v>1076430</v>
      </c>
      <c r="O661" s="3">
        <v>0</v>
      </c>
      <c r="P661" s="3">
        <v>0</v>
      </c>
      <c r="Q661" s="3">
        <v>0</v>
      </c>
      <c r="R661" s="3">
        <v>0</v>
      </c>
      <c r="S661" s="3">
        <v>0</v>
      </c>
      <c r="T661" s="3">
        <v>0</v>
      </c>
      <c r="U661" s="3">
        <v>200000</v>
      </c>
      <c r="V661" s="13"/>
    </row>
    <row r="662" spans="1:22" ht="21.95" customHeight="1">
      <c r="A662" s="52" t="s">
        <v>1074</v>
      </c>
      <c r="B662" s="24" t="s">
        <v>659</v>
      </c>
      <c r="C662" s="1">
        <f t="shared" si="171"/>
        <v>1815715</v>
      </c>
      <c r="D662" s="21">
        <f t="shared" si="172"/>
        <v>685730</v>
      </c>
      <c r="E662" s="3">
        <f>350*291.8</f>
        <v>102130</v>
      </c>
      <c r="F662" s="3">
        <f>800*291.8</f>
        <v>233440</v>
      </c>
      <c r="G662" s="3">
        <f>300*291.8</f>
        <v>87540</v>
      </c>
      <c r="H662" s="3">
        <f>500*291.8</f>
        <v>145900</v>
      </c>
      <c r="I662" s="3">
        <f>400*291.8</f>
        <v>116720</v>
      </c>
      <c r="J662" s="3">
        <f>350*0</f>
        <v>0</v>
      </c>
      <c r="K662" s="5">
        <v>0</v>
      </c>
      <c r="L662" s="3">
        <v>0</v>
      </c>
      <c r="M662" s="3">
        <v>0</v>
      </c>
      <c r="N662" s="3">
        <v>0</v>
      </c>
      <c r="O662" s="3">
        <v>0</v>
      </c>
      <c r="P662" s="3">
        <v>0</v>
      </c>
      <c r="Q662" s="3">
        <v>357</v>
      </c>
      <c r="R662" s="3">
        <v>929985</v>
      </c>
      <c r="S662" s="3">
        <v>0</v>
      </c>
      <c r="T662" s="3">
        <v>0</v>
      </c>
      <c r="U662" s="3">
        <v>200000</v>
      </c>
      <c r="V662" s="13"/>
    </row>
    <row r="663" spans="1:22" ht="21.95" customHeight="1">
      <c r="A663" s="52" t="s">
        <v>1075</v>
      </c>
      <c r="B663" s="24" t="s">
        <v>660</v>
      </c>
      <c r="C663" s="1">
        <f t="shared" si="171"/>
        <v>1567400</v>
      </c>
      <c r="D663" s="21">
        <f t="shared" si="172"/>
        <v>0</v>
      </c>
      <c r="E663" s="21">
        <v>0</v>
      </c>
      <c r="F663" s="21">
        <v>0</v>
      </c>
      <c r="G663" s="21">
        <v>0</v>
      </c>
      <c r="H663" s="21">
        <v>0</v>
      </c>
      <c r="I663" s="21">
        <v>0</v>
      </c>
      <c r="J663" s="21">
        <v>0</v>
      </c>
      <c r="K663" s="5">
        <v>0</v>
      </c>
      <c r="L663" s="3">
        <v>0</v>
      </c>
      <c r="M663" s="3">
        <v>258</v>
      </c>
      <c r="N663" s="3">
        <v>1367400</v>
      </c>
      <c r="O663" s="3">
        <v>0</v>
      </c>
      <c r="P663" s="3">
        <v>0</v>
      </c>
      <c r="Q663" s="3">
        <v>0</v>
      </c>
      <c r="R663" s="3">
        <v>0</v>
      </c>
      <c r="S663" s="3">
        <v>0</v>
      </c>
      <c r="T663" s="3">
        <v>0</v>
      </c>
      <c r="U663" s="3">
        <v>200000</v>
      </c>
      <c r="V663" s="13"/>
    </row>
    <row r="664" spans="1:22" ht="21.95" customHeight="1">
      <c r="A664" s="52" t="s">
        <v>1076</v>
      </c>
      <c r="B664" s="24" t="s">
        <v>661</v>
      </c>
      <c r="C664" s="1">
        <f t="shared" si="171"/>
        <v>1705200</v>
      </c>
      <c r="D664" s="21">
        <f t="shared" si="172"/>
        <v>0</v>
      </c>
      <c r="E664" s="21">
        <v>0</v>
      </c>
      <c r="F664" s="21">
        <v>0</v>
      </c>
      <c r="G664" s="21">
        <v>0</v>
      </c>
      <c r="H664" s="21">
        <v>0</v>
      </c>
      <c r="I664" s="21">
        <v>0</v>
      </c>
      <c r="J664" s="21">
        <v>0</v>
      </c>
      <c r="K664" s="5">
        <v>0</v>
      </c>
      <c r="L664" s="3">
        <v>0</v>
      </c>
      <c r="M664" s="3">
        <v>284</v>
      </c>
      <c r="N664" s="3">
        <v>1505200</v>
      </c>
      <c r="O664" s="3">
        <v>0</v>
      </c>
      <c r="P664" s="3">
        <v>0</v>
      </c>
      <c r="Q664" s="3">
        <v>0</v>
      </c>
      <c r="R664" s="3">
        <v>0</v>
      </c>
      <c r="S664" s="3">
        <v>0</v>
      </c>
      <c r="T664" s="3">
        <v>0</v>
      </c>
      <c r="U664" s="3">
        <v>200000</v>
      </c>
      <c r="V664" s="13"/>
    </row>
    <row r="665" spans="1:22" ht="21.95" customHeight="1">
      <c r="A665" s="52" t="s">
        <v>1077</v>
      </c>
      <c r="B665" s="24" t="s">
        <v>662</v>
      </c>
      <c r="C665" s="1">
        <f t="shared" si="171"/>
        <v>3429290</v>
      </c>
      <c r="D665" s="21">
        <f t="shared" si="172"/>
        <v>0</v>
      </c>
      <c r="E665" s="21">
        <v>0</v>
      </c>
      <c r="F665" s="21">
        <v>0</v>
      </c>
      <c r="G665" s="21">
        <v>0</v>
      </c>
      <c r="H665" s="21">
        <v>0</v>
      </c>
      <c r="I665" s="21">
        <v>0</v>
      </c>
      <c r="J665" s="21">
        <v>0</v>
      </c>
      <c r="K665" s="5">
        <v>0</v>
      </c>
      <c r="L665" s="3">
        <v>0</v>
      </c>
      <c r="M665" s="3">
        <v>609.29999999999995</v>
      </c>
      <c r="N665" s="3">
        <v>3229290</v>
      </c>
      <c r="O665" s="3">
        <v>0</v>
      </c>
      <c r="P665" s="3">
        <v>0</v>
      </c>
      <c r="Q665" s="3">
        <v>0</v>
      </c>
      <c r="R665" s="3">
        <v>0</v>
      </c>
      <c r="S665" s="3">
        <v>0</v>
      </c>
      <c r="T665" s="3">
        <v>0</v>
      </c>
      <c r="U665" s="3">
        <v>200000</v>
      </c>
      <c r="V665" s="13"/>
    </row>
    <row r="666" spans="1:22" ht="21.95" customHeight="1">
      <c r="A666" s="52" t="s">
        <v>1078</v>
      </c>
      <c r="B666" s="24" t="s">
        <v>663</v>
      </c>
      <c r="C666" s="1">
        <f t="shared" si="171"/>
        <v>1843000</v>
      </c>
      <c r="D666" s="21">
        <f t="shared" si="172"/>
        <v>0</v>
      </c>
      <c r="E666" s="21">
        <v>0</v>
      </c>
      <c r="F666" s="21">
        <v>0</v>
      </c>
      <c r="G666" s="21">
        <v>0</v>
      </c>
      <c r="H666" s="21">
        <v>0</v>
      </c>
      <c r="I666" s="21">
        <v>0</v>
      </c>
      <c r="J666" s="21">
        <v>0</v>
      </c>
      <c r="K666" s="5">
        <v>0</v>
      </c>
      <c r="L666" s="3">
        <v>0</v>
      </c>
      <c r="M666" s="3">
        <v>310</v>
      </c>
      <c r="N666" s="3">
        <v>1643000</v>
      </c>
      <c r="O666" s="3">
        <v>0</v>
      </c>
      <c r="P666" s="3">
        <v>0</v>
      </c>
      <c r="Q666" s="3">
        <v>0</v>
      </c>
      <c r="R666" s="3">
        <v>0</v>
      </c>
      <c r="S666" s="3">
        <v>0</v>
      </c>
      <c r="T666" s="3">
        <v>0</v>
      </c>
      <c r="U666" s="3">
        <v>200000</v>
      </c>
      <c r="V666" s="13"/>
    </row>
    <row r="667" spans="1:22" ht="21.95" customHeight="1">
      <c r="A667" s="52" t="s">
        <v>1079</v>
      </c>
      <c r="B667" s="24" t="s">
        <v>569</v>
      </c>
      <c r="C667" s="1">
        <f t="shared" si="171"/>
        <v>1837700</v>
      </c>
      <c r="D667" s="21">
        <f t="shared" si="172"/>
        <v>0</v>
      </c>
      <c r="E667" s="21">
        <v>0</v>
      </c>
      <c r="F667" s="21">
        <v>0</v>
      </c>
      <c r="G667" s="21">
        <v>0</v>
      </c>
      <c r="H667" s="21">
        <v>0</v>
      </c>
      <c r="I667" s="21">
        <v>0</v>
      </c>
      <c r="J667" s="21">
        <v>0</v>
      </c>
      <c r="K667" s="5">
        <v>0</v>
      </c>
      <c r="L667" s="3">
        <v>0</v>
      </c>
      <c r="M667" s="3">
        <v>309</v>
      </c>
      <c r="N667" s="3">
        <v>1637700</v>
      </c>
      <c r="O667" s="3">
        <v>0</v>
      </c>
      <c r="P667" s="3">
        <v>0</v>
      </c>
      <c r="Q667" s="3">
        <v>0</v>
      </c>
      <c r="R667" s="3">
        <v>0</v>
      </c>
      <c r="S667" s="3">
        <v>0</v>
      </c>
      <c r="T667" s="3">
        <v>0</v>
      </c>
      <c r="U667" s="3">
        <v>200000</v>
      </c>
      <c r="V667" s="13"/>
    </row>
    <row r="668" spans="1:22" ht="21.95" customHeight="1">
      <c r="A668" s="52" t="s">
        <v>1792</v>
      </c>
      <c r="B668" s="24" t="s">
        <v>664</v>
      </c>
      <c r="C668" s="1">
        <f t="shared" si="171"/>
        <v>1768800</v>
      </c>
      <c r="D668" s="21">
        <f t="shared" si="172"/>
        <v>0</v>
      </c>
      <c r="E668" s="21">
        <v>0</v>
      </c>
      <c r="F668" s="21">
        <v>0</v>
      </c>
      <c r="G668" s="21">
        <v>0</v>
      </c>
      <c r="H668" s="21">
        <v>0</v>
      </c>
      <c r="I668" s="21">
        <v>0</v>
      </c>
      <c r="J668" s="21">
        <v>0</v>
      </c>
      <c r="K668" s="5">
        <v>0</v>
      </c>
      <c r="L668" s="3">
        <v>0</v>
      </c>
      <c r="M668" s="3">
        <v>296</v>
      </c>
      <c r="N668" s="3">
        <v>1568800</v>
      </c>
      <c r="O668" s="3">
        <v>0</v>
      </c>
      <c r="P668" s="3">
        <v>0</v>
      </c>
      <c r="Q668" s="3">
        <v>0</v>
      </c>
      <c r="R668" s="3">
        <v>0</v>
      </c>
      <c r="S668" s="3">
        <v>0</v>
      </c>
      <c r="T668" s="3">
        <v>0</v>
      </c>
      <c r="U668" s="3">
        <v>200000</v>
      </c>
      <c r="V668" s="13"/>
    </row>
    <row r="669" spans="1:22" ht="21.95" customHeight="1">
      <c r="A669" s="52" t="s">
        <v>1080</v>
      </c>
      <c r="B669" s="24" t="s">
        <v>665</v>
      </c>
      <c r="C669" s="1">
        <f t="shared" si="171"/>
        <v>1143400</v>
      </c>
      <c r="D669" s="21">
        <f t="shared" si="172"/>
        <v>0</v>
      </c>
      <c r="E669" s="21">
        <v>0</v>
      </c>
      <c r="F669" s="21">
        <v>0</v>
      </c>
      <c r="G669" s="21">
        <v>0</v>
      </c>
      <c r="H669" s="21">
        <v>0</v>
      </c>
      <c r="I669" s="21">
        <v>0</v>
      </c>
      <c r="J669" s="21">
        <v>0</v>
      </c>
      <c r="K669" s="5">
        <v>0</v>
      </c>
      <c r="L669" s="3">
        <v>0</v>
      </c>
      <c r="M669" s="3">
        <v>178</v>
      </c>
      <c r="N669" s="3">
        <v>943400</v>
      </c>
      <c r="O669" s="3">
        <v>0</v>
      </c>
      <c r="P669" s="3">
        <v>0</v>
      </c>
      <c r="Q669" s="3">
        <v>0</v>
      </c>
      <c r="R669" s="3">
        <v>0</v>
      </c>
      <c r="S669" s="3">
        <v>0</v>
      </c>
      <c r="T669" s="3">
        <v>0</v>
      </c>
      <c r="U669" s="3">
        <v>200000</v>
      </c>
      <c r="V669" s="13"/>
    </row>
    <row r="670" spans="1:22" ht="21.95" customHeight="1">
      <c r="A670" s="52" t="s">
        <v>1081</v>
      </c>
      <c r="B670" s="24" t="s">
        <v>666</v>
      </c>
      <c r="C670" s="1">
        <f t="shared" si="171"/>
        <v>1576940</v>
      </c>
      <c r="D670" s="21">
        <f t="shared" si="172"/>
        <v>0</v>
      </c>
      <c r="E670" s="21">
        <v>0</v>
      </c>
      <c r="F670" s="21">
        <v>0</v>
      </c>
      <c r="G670" s="21">
        <v>0</v>
      </c>
      <c r="H670" s="21">
        <v>0</v>
      </c>
      <c r="I670" s="21">
        <v>0</v>
      </c>
      <c r="J670" s="21">
        <v>0</v>
      </c>
      <c r="K670" s="5">
        <v>0</v>
      </c>
      <c r="L670" s="3">
        <v>0</v>
      </c>
      <c r="M670" s="3">
        <v>259.8</v>
      </c>
      <c r="N670" s="3">
        <v>1376940</v>
      </c>
      <c r="O670" s="3">
        <v>0</v>
      </c>
      <c r="P670" s="3">
        <v>0</v>
      </c>
      <c r="Q670" s="3">
        <v>0</v>
      </c>
      <c r="R670" s="3">
        <v>0</v>
      </c>
      <c r="S670" s="3">
        <v>0</v>
      </c>
      <c r="T670" s="3">
        <v>0</v>
      </c>
      <c r="U670" s="3">
        <v>200000</v>
      </c>
      <c r="V670" s="13"/>
    </row>
    <row r="671" spans="1:22" ht="21.95" customHeight="1">
      <c r="A671" s="52" t="s">
        <v>1082</v>
      </c>
      <c r="B671" s="24" t="s">
        <v>667</v>
      </c>
      <c r="C671" s="1">
        <f t="shared" si="171"/>
        <v>2844700</v>
      </c>
      <c r="D671" s="21">
        <f t="shared" si="172"/>
        <v>0</v>
      </c>
      <c r="E671" s="21">
        <v>0</v>
      </c>
      <c r="F671" s="21">
        <v>0</v>
      </c>
      <c r="G671" s="21">
        <v>0</v>
      </c>
      <c r="H671" s="21">
        <v>0</v>
      </c>
      <c r="I671" s="21">
        <v>0</v>
      </c>
      <c r="J671" s="21">
        <v>0</v>
      </c>
      <c r="K671" s="5">
        <v>0</v>
      </c>
      <c r="L671" s="3">
        <v>0</v>
      </c>
      <c r="M671" s="3">
        <v>499</v>
      </c>
      <c r="N671" s="3">
        <v>2644700</v>
      </c>
      <c r="O671" s="3">
        <v>0</v>
      </c>
      <c r="P671" s="3">
        <v>0</v>
      </c>
      <c r="Q671" s="3">
        <v>0</v>
      </c>
      <c r="R671" s="3">
        <v>0</v>
      </c>
      <c r="S671" s="3">
        <v>0</v>
      </c>
      <c r="T671" s="3">
        <v>0</v>
      </c>
      <c r="U671" s="3">
        <v>200000</v>
      </c>
      <c r="V671" s="13"/>
    </row>
    <row r="672" spans="1:22" ht="21.95" customHeight="1">
      <c r="A672" s="52" t="s">
        <v>1083</v>
      </c>
      <c r="B672" s="24" t="s">
        <v>570</v>
      </c>
      <c r="C672" s="1">
        <f t="shared" si="171"/>
        <v>1977090</v>
      </c>
      <c r="D672" s="21">
        <f t="shared" si="172"/>
        <v>0</v>
      </c>
      <c r="E672" s="21">
        <v>0</v>
      </c>
      <c r="F672" s="21">
        <v>0</v>
      </c>
      <c r="G672" s="21">
        <v>0</v>
      </c>
      <c r="H672" s="21">
        <v>0</v>
      </c>
      <c r="I672" s="21">
        <v>0</v>
      </c>
      <c r="J672" s="21">
        <v>0</v>
      </c>
      <c r="K672" s="5">
        <v>0</v>
      </c>
      <c r="L672" s="3">
        <v>0</v>
      </c>
      <c r="M672" s="3">
        <v>335.3</v>
      </c>
      <c r="N672" s="3">
        <v>1777090</v>
      </c>
      <c r="O672" s="3">
        <v>0</v>
      </c>
      <c r="P672" s="3">
        <v>0</v>
      </c>
      <c r="Q672" s="3">
        <v>0</v>
      </c>
      <c r="R672" s="3">
        <v>0</v>
      </c>
      <c r="S672" s="3">
        <v>0</v>
      </c>
      <c r="T672" s="3">
        <v>0</v>
      </c>
      <c r="U672" s="3">
        <v>200000</v>
      </c>
      <c r="V672" s="13"/>
    </row>
    <row r="673" spans="1:22" ht="21.95" customHeight="1">
      <c r="A673" s="52" t="s">
        <v>1084</v>
      </c>
      <c r="B673" s="24" t="s">
        <v>668</v>
      </c>
      <c r="C673" s="1">
        <f t="shared" si="171"/>
        <v>3088500</v>
      </c>
      <c r="D673" s="21">
        <f t="shared" si="172"/>
        <v>0</v>
      </c>
      <c r="E673" s="21">
        <v>0</v>
      </c>
      <c r="F673" s="21">
        <v>0</v>
      </c>
      <c r="G673" s="21">
        <v>0</v>
      </c>
      <c r="H673" s="21">
        <v>0</v>
      </c>
      <c r="I673" s="21">
        <v>0</v>
      </c>
      <c r="J673" s="21">
        <v>0</v>
      </c>
      <c r="K673" s="5">
        <v>0</v>
      </c>
      <c r="L673" s="3">
        <v>0</v>
      </c>
      <c r="M673" s="3">
        <v>545</v>
      </c>
      <c r="N673" s="3">
        <v>2888500</v>
      </c>
      <c r="O673" s="3">
        <v>0</v>
      </c>
      <c r="P673" s="3">
        <v>0</v>
      </c>
      <c r="Q673" s="3">
        <v>0</v>
      </c>
      <c r="R673" s="3">
        <v>0</v>
      </c>
      <c r="S673" s="3">
        <v>0</v>
      </c>
      <c r="T673" s="3">
        <v>0</v>
      </c>
      <c r="U673" s="3">
        <v>200000</v>
      </c>
      <c r="V673" s="13"/>
    </row>
    <row r="674" spans="1:22" ht="21.95" customHeight="1">
      <c r="A674" s="52" t="s">
        <v>1085</v>
      </c>
      <c r="B674" s="24" t="s">
        <v>669</v>
      </c>
      <c r="C674" s="1">
        <f t="shared" si="171"/>
        <v>2913600</v>
      </c>
      <c r="D674" s="21">
        <f t="shared" si="172"/>
        <v>0</v>
      </c>
      <c r="E674" s="21">
        <v>0</v>
      </c>
      <c r="F674" s="21">
        <v>0</v>
      </c>
      <c r="G674" s="21">
        <v>0</v>
      </c>
      <c r="H674" s="21">
        <v>0</v>
      </c>
      <c r="I674" s="21">
        <v>0</v>
      </c>
      <c r="J674" s="21">
        <v>0</v>
      </c>
      <c r="K674" s="5">
        <v>0</v>
      </c>
      <c r="L674" s="3">
        <v>0</v>
      </c>
      <c r="M674" s="3">
        <v>512</v>
      </c>
      <c r="N674" s="3">
        <v>2713600</v>
      </c>
      <c r="O674" s="3">
        <v>0</v>
      </c>
      <c r="P674" s="3">
        <v>0</v>
      </c>
      <c r="Q674" s="3">
        <v>0</v>
      </c>
      <c r="R674" s="3">
        <v>0</v>
      </c>
      <c r="S674" s="3">
        <v>0</v>
      </c>
      <c r="T674" s="3">
        <v>0</v>
      </c>
      <c r="U674" s="3">
        <v>200000</v>
      </c>
      <c r="V674" s="13"/>
    </row>
    <row r="675" spans="1:22" ht="21.95" customHeight="1">
      <c r="A675" s="52" t="s">
        <v>1086</v>
      </c>
      <c r="B675" s="24" t="s">
        <v>670</v>
      </c>
      <c r="C675" s="1">
        <f t="shared" si="171"/>
        <v>2436600</v>
      </c>
      <c r="D675" s="21">
        <f t="shared" si="172"/>
        <v>0</v>
      </c>
      <c r="E675" s="21">
        <v>0</v>
      </c>
      <c r="F675" s="21">
        <v>0</v>
      </c>
      <c r="G675" s="21">
        <v>0</v>
      </c>
      <c r="H675" s="21">
        <v>0</v>
      </c>
      <c r="I675" s="21">
        <v>0</v>
      </c>
      <c r="J675" s="21">
        <v>0</v>
      </c>
      <c r="K675" s="5">
        <v>0</v>
      </c>
      <c r="L675" s="3">
        <v>0</v>
      </c>
      <c r="M675" s="3">
        <v>422</v>
      </c>
      <c r="N675" s="3">
        <v>2236600</v>
      </c>
      <c r="O675" s="3">
        <v>0</v>
      </c>
      <c r="P675" s="3">
        <v>0</v>
      </c>
      <c r="Q675" s="3">
        <v>0</v>
      </c>
      <c r="R675" s="3">
        <v>0</v>
      </c>
      <c r="S675" s="3">
        <v>0</v>
      </c>
      <c r="T675" s="3">
        <v>0</v>
      </c>
      <c r="U675" s="3">
        <v>200000</v>
      </c>
      <c r="V675" s="13"/>
    </row>
    <row r="676" spans="1:22" ht="21.95" customHeight="1">
      <c r="A676" s="52" t="s">
        <v>1500</v>
      </c>
      <c r="B676" s="24" t="s">
        <v>452</v>
      </c>
      <c r="C676" s="1">
        <f t="shared" si="171"/>
        <v>6520700</v>
      </c>
      <c r="D676" s="21">
        <f t="shared" si="172"/>
        <v>2053200</v>
      </c>
      <c r="E676" s="21">
        <f>350*855.5</f>
        <v>299425</v>
      </c>
      <c r="F676" s="21">
        <f>800*855.5</f>
        <v>684400</v>
      </c>
      <c r="G676" s="21">
        <f>350*855.5</f>
        <v>299425</v>
      </c>
      <c r="H676" s="21">
        <f>500*855.5</f>
        <v>427750</v>
      </c>
      <c r="I676" s="21">
        <f>400*855.5</f>
        <v>342200</v>
      </c>
      <c r="J676" s="21">
        <v>0</v>
      </c>
      <c r="K676" s="40">
        <v>0</v>
      </c>
      <c r="L676" s="21">
        <v>0</v>
      </c>
      <c r="M676" s="21">
        <v>480</v>
      </c>
      <c r="N676" s="21">
        <v>2544000</v>
      </c>
      <c r="O676" s="21">
        <v>0</v>
      </c>
      <c r="P676" s="21">
        <v>0</v>
      </c>
      <c r="Q676" s="21">
        <v>700</v>
      </c>
      <c r="R676" s="21">
        <v>1823500</v>
      </c>
      <c r="S676" s="21">
        <v>0</v>
      </c>
      <c r="T676" s="3">
        <v>0</v>
      </c>
      <c r="U676" s="21">
        <v>100000</v>
      </c>
    </row>
    <row r="677" spans="1:22" ht="21.95" customHeight="1">
      <c r="A677" s="52" t="s">
        <v>1087</v>
      </c>
      <c r="B677" s="24" t="s">
        <v>571</v>
      </c>
      <c r="C677" s="1">
        <f t="shared" si="171"/>
        <v>2570160</v>
      </c>
      <c r="D677" s="21">
        <f t="shared" si="172"/>
        <v>0</v>
      </c>
      <c r="E677" s="21">
        <v>0</v>
      </c>
      <c r="F677" s="21">
        <v>0</v>
      </c>
      <c r="G677" s="21">
        <v>0</v>
      </c>
      <c r="H677" s="21">
        <v>0</v>
      </c>
      <c r="I677" s="21">
        <v>0</v>
      </c>
      <c r="J677" s="21">
        <v>0</v>
      </c>
      <c r="K677" s="5">
        <v>0</v>
      </c>
      <c r="L677" s="3">
        <v>0</v>
      </c>
      <c r="M677" s="3">
        <v>447.2</v>
      </c>
      <c r="N677" s="3">
        <v>2370160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200000</v>
      </c>
      <c r="V677" s="13"/>
    </row>
    <row r="678" spans="1:22" ht="21.95" customHeight="1">
      <c r="A678" s="52" t="s">
        <v>1088</v>
      </c>
      <c r="B678" s="30" t="s">
        <v>572</v>
      </c>
      <c r="C678" s="1">
        <f t="shared" ref="C678:C741" si="173">D678+L678+N678+P678+R678+S678+T678+U678</f>
        <v>3857000</v>
      </c>
      <c r="D678" s="21">
        <f t="shared" si="172"/>
        <v>0</v>
      </c>
      <c r="E678" s="21">
        <v>0</v>
      </c>
      <c r="F678" s="21">
        <v>0</v>
      </c>
      <c r="G678" s="21">
        <v>0</v>
      </c>
      <c r="H678" s="21">
        <v>0</v>
      </c>
      <c r="I678" s="21">
        <v>0</v>
      </c>
      <c r="J678" s="21">
        <v>0</v>
      </c>
      <c r="K678" s="5">
        <v>0</v>
      </c>
      <c r="L678" s="3">
        <v>0</v>
      </c>
      <c r="M678" s="3">
        <v>690</v>
      </c>
      <c r="N678" s="3">
        <v>3657000</v>
      </c>
      <c r="O678" s="3">
        <v>0</v>
      </c>
      <c r="P678" s="3">
        <v>0</v>
      </c>
      <c r="Q678" s="3">
        <v>0</v>
      </c>
      <c r="R678" s="3">
        <v>0</v>
      </c>
      <c r="S678" s="3">
        <v>0</v>
      </c>
      <c r="T678" s="3">
        <v>0</v>
      </c>
      <c r="U678" s="3">
        <v>200000</v>
      </c>
      <c r="V678" s="13"/>
    </row>
    <row r="679" spans="1:22" ht="21.95" customHeight="1">
      <c r="A679" s="52" t="s">
        <v>1089</v>
      </c>
      <c r="B679" s="30" t="s">
        <v>573</v>
      </c>
      <c r="C679" s="1">
        <f t="shared" si="173"/>
        <v>3936500</v>
      </c>
      <c r="D679" s="21">
        <f t="shared" si="172"/>
        <v>0</v>
      </c>
      <c r="E679" s="21">
        <v>0</v>
      </c>
      <c r="F679" s="21">
        <v>0</v>
      </c>
      <c r="G679" s="21">
        <v>0</v>
      </c>
      <c r="H679" s="21">
        <v>0</v>
      </c>
      <c r="I679" s="21">
        <v>0</v>
      </c>
      <c r="J679" s="21">
        <v>0</v>
      </c>
      <c r="K679" s="5">
        <v>0</v>
      </c>
      <c r="L679" s="3">
        <v>0</v>
      </c>
      <c r="M679" s="3">
        <v>705</v>
      </c>
      <c r="N679" s="3">
        <v>3736500</v>
      </c>
      <c r="O679" s="3">
        <v>0</v>
      </c>
      <c r="P679" s="3">
        <v>0</v>
      </c>
      <c r="Q679" s="3">
        <v>0</v>
      </c>
      <c r="R679" s="3">
        <v>0</v>
      </c>
      <c r="S679" s="3">
        <v>0</v>
      </c>
      <c r="T679" s="3">
        <v>0</v>
      </c>
      <c r="U679" s="3">
        <v>200000</v>
      </c>
      <c r="V679" s="13"/>
    </row>
    <row r="680" spans="1:22" ht="21.95" customHeight="1">
      <c r="A680" s="52" t="s">
        <v>1090</v>
      </c>
      <c r="B680" s="24" t="s">
        <v>574</v>
      </c>
      <c r="C680" s="1">
        <f t="shared" si="173"/>
        <v>18221500</v>
      </c>
      <c r="D680" s="21">
        <f t="shared" si="172"/>
        <v>10154400</v>
      </c>
      <c r="E680" s="21">
        <f>350*4231</f>
        <v>1480850</v>
      </c>
      <c r="F680" s="21">
        <f>800*4231</f>
        <v>3384800</v>
      </c>
      <c r="G680" s="21">
        <f>350*4231</f>
        <v>1480850</v>
      </c>
      <c r="H680" s="21">
        <f>500*4231</f>
        <v>2115500</v>
      </c>
      <c r="I680" s="21">
        <f>400*4231</f>
        <v>1692400</v>
      </c>
      <c r="J680" s="21">
        <v>0</v>
      </c>
      <c r="K680" s="5">
        <v>0</v>
      </c>
      <c r="L680" s="3">
        <v>0</v>
      </c>
      <c r="M680" s="3">
        <v>0</v>
      </c>
      <c r="N680" s="3">
        <v>0</v>
      </c>
      <c r="O680" s="3">
        <v>0</v>
      </c>
      <c r="P680" s="3">
        <v>0</v>
      </c>
      <c r="Q680" s="3">
        <v>3020</v>
      </c>
      <c r="R680" s="3">
        <v>7867100</v>
      </c>
      <c r="S680" s="3">
        <v>0</v>
      </c>
      <c r="T680" s="3">
        <v>0</v>
      </c>
      <c r="U680" s="3">
        <v>200000</v>
      </c>
      <c r="V680" s="13"/>
    </row>
    <row r="681" spans="1:22" ht="21.95" customHeight="1">
      <c r="A681" s="52" t="s">
        <v>1091</v>
      </c>
      <c r="B681" s="30" t="s">
        <v>671</v>
      </c>
      <c r="C681" s="1">
        <f t="shared" si="173"/>
        <v>5372800</v>
      </c>
      <c r="D681" s="21">
        <f t="shared" si="172"/>
        <v>0</v>
      </c>
      <c r="E681" s="21">
        <v>0</v>
      </c>
      <c r="F681" s="21">
        <v>0</v>
      </c>
      <c r="G681" s="21">
        <v>0</v>
      </c>
      <c r="H681" s="21">
        <v>0</v>
      </c>
      <c r="I681" s="21">
        <v>0</v>
      </c>
      <c r="J681" s="21">
        <v>0</v>
      </c>
      <c r="K681" s="5">
        <v>0</v>
      </c>
      <c r="L681" s="3">
        <v>0</v>
      </c>
      <c r="M681" s="3">
        <v>976</v>
      </c>
      <c r="N681" s="3">
        <v>5172800</v>
      </c>
      <c r="O681" s="3">
        <v>0</v>
      </c>
      <c r="P681" s="3">
        <v>0</v>
      </c>
      <c r="Q681" s="3">
        <v>0</v>
      </c>
      <c r="R681" s="3">
        <v>0</v>
      </c>
      <c r="S681" s="3">
        <v>0</v>
      </c>
      <c r="T681" s="3">
        <v>0</v>
      </c>
      <c r="U681" s="3">
        <v>200000</v>
      </c>
      <c r="V681" s="13"/>
    </row>
    <row r="682" spans="1:22" ht="21.95" customHeight="1">
      <c r="A682" s="52" t="s">
        <v>1092</v>
      </c>
      <c r="B682" s="30" t="s">
        <v>672</v>
      </c>
      <c r="C682" s="1">
        <f t="shared" si="173"/>
        <v>4567200</v>
      </c>
      <c r="D682" s="21">
        <f t="shared" si="172"/>
        <v>0</v>
      </c>
      <c r="E682" s="21">
        <v>0</v>
      </c>
      <c r="F682" s="21">
        <v>0</v>
      </c>
      <c r="G682" s="21">
        <v>0</v>
      </c>
      <c r="H682" s="21">
        <v>0</v>
      </c>
      <c r="I682" s="21">
        <v>0</v>
      </c>
      <c r="J682" s="21">
        <v>0</v>
      </c>
      <c r="K682" s="5">
        <v>0</v>
      </c>
      <c r="L682" s="3">
        <v>0</v>
      </c>
      <c r="M682" s="3">
        <v>824</v>
      </c>
      <c r="N682" s="3">
        <v>4367200</v>
      </c>
      <c r="O682" s="3">
        <v>0</v>
      </c>
      <c r="P682" s="3">
        <v>0</v>
      </c>
      <c r="Q682" s="3">
        <v>0</v>
      </c>
      <c r="R682" s="3">
        <v>0</v>
      </c>
      <c r="S682" s="3">
        <v>0</v>
      </c>
      <c r="T682" s="3">
        <v>0</v>
      </c>
      <c r="U682" s="3">
        <v>200000</v>
      </c>
      <c r="V682" s="13"/>
    </row>
    <row r="683" spans="1:22" ht="21.95" customHeight="1">
      <c r="A683" s="52" t="s">
        <v>1093</v>
      </c>
      <c r="B683" s="24" t="s">
        <v>488</v>
      </c>
      <c r="C683" s="1">
        <f t="shared" si="173"/>
        <v>1735580</v>
      </c>
      <c r="D683" s="21">
        <f t="shared" si="172"/>
        <v>0</v>
      </c>
      <c r="E683" s="21">
        <v>0</v>
      </c>
      <c r="F683" s="21">
        <v>0</v>
      </c>
      <c r="G683" s="21">
        <v>0</v>
      </c>
      <c r="H683" s="21">
        <v>0</v>
      </c>
      <c r="I683" s="21">
        <v>0</v>
      </c>
      <c r="J683" s="21">
        <v>0</v>
      </c>
      <c r="K683" s="40">
        <v>0</v>
      </c>
      <c r="L683" s="21">
        <v>0</v>
      </c>
      <c r="M683" s="21">
        <v>308.60000000000002</v>
      </c>
      <c r="N683" s="21">
        <v>1635580</v>
      </c>
      <c r="O683" s="21">
        <v>0</v>
      </c>
      <c r="P683" s="21">
        <v>0</v>
      </c>
      <c r="Q683" s="21">
        <v>0</v>
      </c>
      <c r="R683" s="21">
        <v>0</v>
      </c>
      <c r="S683" s="21">
        <v>0</v>
      </c>
      <c r="T683" s="3">
        <v>0</v>
      </c>
      <c r="U683" s="21">
        <v>100000</v>
      </c>
    </row>
    <row r="684" spans="1:22" ht="21.95" customHeight="1">
      <c r="A684" s="52" t="s">
        <v>1094</v>
      </c>
      <c r="B684" s="24" t="s">
        <v>419</v>
      </c>
      <c r="C684" s="1">
        <f t="shared" si="173"/>
        <v>4971136</v>
      </c>
      <c r="D684" s="21">
        <f t="shared" si="172"/>
        <v>918636</v>
      </c>
      <c r="E684" s="3">
        <f>350*496.56</f>
        <v>173796</v>
      </c>
      <c r="F684" s="3">
        <f>800*496.56</f>
        <v>397248</v>
      </c>
      <c r="G684" s="3">
        <f>300*496.56</f>
        <v>148968</v>
      </c>
      <c r="H684" s="3">
        <f>500*0</f>
        <v>0</v>
      </c>
      <c r="I684" s="3">
        <f>400*496.56</f>
        <v>198624</v>
      </c>
      <c r="J684" s="3">
        <f>350*0</f>
        <v>0</v>
      </c>
      <c r="K684" s="40">
        <v>0</v>
      </c>
      <c r="L684" s="21">
        <v>0</v>
      </c>
      <c r="M684" s="21">
        <v>500</v>
      </c>
      <c r="N684" s="21">
        <f>M684*5300</f>
        <v>2650000</v>
      </c>
      <c r="O684" s="21">
        <v>0</v>
      </c>
      <c r="P684" s="21">
        <v>0</v>
      </c>
      <c r="Q684" s="21">
        <v>500</v>
      </c>
      <c r="R684" s="21">
        <f>Q684*2605</f>
        <v>1302500</v>
      </c>
      <c r="S684" s="21">
        <v>0</v>
      </c>
      <c r="T684" s="3">
        <v>0</v>
      </c>
      <c r="U684" s="21">
        <v>100000</v>
      </c>
    </row>
    <row r="685" spans="1:22" ht="21.95" customHeight="1">
      <c r="A685" s="52" t="s">
        <v>1095</v>
      </c>
      <c r="B685" s="24" t="s">
        <v>673</v>
      </c>
      <c r="C685" s="1">
        <f t="shared" si="173"/>
        <v>2954720</v>
      </c>
      <c r="D685" s="21">
        <f t="shared" si="172"/>
        <v>2754720</v>
      </c>
      <c r="E685" s="21">
        <f>350*1147.8</f>
        <v>401730</v>
      </c>
      <c r="F685" s="21">
        <f>800*1147.8</f>
        <v>918240</v>
      </c>
      <c r="G685" s="21">
        <f>350*1147.8</f>
        <v>401730</v>
      </c>
      <c r="H685" s="21">
        <f>500*1147.8</f>
        <v>573900</v>
      </c>
      <c r="I685" s="21">
        <f>400*1147.8</f>
        <v>459120</v>
      </c>
      <c r="J685" s="21">
        <v>0</v>
      </c>
      <c r="K685" s="5">
        <v>0</v>
      </c>
      <c r="L685" s="3">
        <v>0</v>
      </c>
      <c r="M685" s="3">
        <v>0</v>
      </c>
      <c r="N685" s="3">
        <v>0</v>
      </c>
      <c r="O685" s="3">
        <v>0</v>
      </c>
      <c r="P685" s="3">
        <v>0</v>
      </c>
      <c r="Q685" s="3">
        <v>0</v>
      </c>
      <c r="R685" s="3">
        <v>0</v>
      </c>
      <c r="S685" s="3">
        <v>0</v>
      </c>
      <c r="T685" s="3">
        <v>0</v>
      </c>
      <c r="U685" s="3">
        <v>200000</v>
      </c>
      <c r="V685" s="13"/>
    </row>
    <row r="686" spans="1:22" ht="21.95" customHeight="1">
      <c r="A686" s="52" t="s">
        <v>1096</v>
      </c>
      <c r="B686" s="24" t="s">
        <v>575</v>
      </c>
      <c r="C686" s="1">
        <f t="shared" si="173"/>
        <v>5927600</v>
      </c>
      <c r="D686" s="21">
        <f t="shared" si="172"/>
        <v>5727600</v>
      </c>
      <c r="E686" s="21">
        <f>350*2386.5</f>
        <v>835275</v>
      </c>
      <c r="F686" s="21">
        <f>800*2386.5</f>
        <v>1909200</v>
      </c>
      <c r="G686" s="21">
        <f>350*2386.5</f>
        <v>835275</v>
      </c>
      <c r="H686" s="21">
        <f>500*2386.5</f>
        <v>1193250</v>
      </c>
      <c r="I686" s="21">
        <f>400*2386.5</f>
        <v>954600</v>
      </c>
      <c r="J686" s="21">
        <v>0</v>
      </c>
      <c r="K686" s="5">
        <v>0</v>
      </c>
      <c r="L686" s="3">
        <v>0</v>
      </c>
      <c r="M686" s="3">
        <v>0</v>
      </c>
      <c r="N686" s="3">
        <v>0</v>
      </c>
      <c r="O686" s="3">
        <v>0</v>
      </c>
      <c r="P686" s="3">
        <v>0</v>
      </c>
      <c r="Q686" s="3">
        <v>0</v>
      </c>
      <c r="R686" s="3">
        <v>0</v>
      </c>
      <c r="S686" s="3">
        <v>0</v>
      </c>
      <c r="T686" s="3">
        <v>0</v>
      </c>
      <c r="U686" s="3">
        <v>200000</v>
      </c>
      <c r="V686" s="13"/>
    </row>
    <row r="687" spans="1:22" ht="21.95" customHeight="1">
      <c r="A687" s="52" t="s">
        <v>1097</v>
      </c>
      <c r="B687" s="24" t="s">
        <v>674</v>
      </c>
      <c r="C687" s="1">
        <f t="shared" si="173"/>
        <v>2902184</v>
      </c>
      <c r="D687" s="21">
        <f t="shared" si="172"/>
        <v>2702184</v>
      </c>
      <c r="E687" s="21">
        <f>350*1125.91</f>
        <v>394068.5</v>
      </c>
      <c r="F687" s="21">
        <f>800*1125.91</f>
        <v>900728.00000000012</v>
      </c>
      <c r="G687" s="21">
        <f>350*1125.91</f>
        <v>394068.5</v>
      </c>
      <c r="H687" s="21">
        <f>500*1125.91</f>
        <v>562955</v>
      </c>
      <c r="I687" s="21">
        <f>400*1125.91</f>
        <v>450364.00000000006</v>
      </c>
      <c r="J687" s="21">
        <v>0</v>
      </c>
      <c r="K687" s="5">
        <v>0</v>
      </c>
      <c r="L687" s="3">
        <v>0</v>
      </c>
      <c r="M687" s="3">
        <v>0</v>
      </c>
      <c r="N687" s="3">
        <v>0</v>
      </c>
      <c r="O687" s="3">
        <v>0</v>
      </c>
      <c r="P687" s="3">
        <v>0</v>
      </c>
      <c r="Q687" s="3">
        <v>0</v>
      </c>
      <c r="R687" s="3">
        <v>0</v>
      </c>
      <c r="S687" s="3">
        <v>0</v>
      </c>
      <c r="T687" s="3">
        <v>0</v>
      </c>
      <c r="U687" s="3">
        <v>200000</v>
      </c>
      <c r="V687" s="13"/>
    </row>
    <row r="688" spans="1:22" ht="21.95" customHeight="1">
      <c r="A688" s="52" t="s">
        <v>1098</v>
      </c>
      <c r="B688" s="24" t="s">
        <v>675</v>
      </c>
      <c r="C688" s="1">
        <f t="shared" si="173"/>
        <v>2748320</v>
      </c>
      <c r="D688" s="21">
        <f t="shared" si="172"/>
        <v>2548320</v>
      </c>
      <c r="E688" s="21">
        <f>350*1061.8</f>
        <v>371630</v>
      </c>
      <c r="F688" s="21">
        <f>800*1061.8</f>
        <v>849440</v>
      </c>
      <c r="G688" s="21">
        <f>350*1061.8</f>
        <v>371630</v>
      </c>
      <c r="H688" s="21">
        <f>500*1061.8</f>
        <v>530900</v>
      </c>
      <c r="I688" s="21">
        <f>400*1061.8</f>
        <v>424720</v>
      </c>
      <c r="J688" s="21">
        <v>0</v>
      </c>
      <c r="K688" s="5">
        <v>0</v>
      </c>
      <c r="L688" s="3">
        <v>0</v>
      </c>
      <c r="M688" s="3">
        <v>0</v>
      </c>
      <c r="N688" s="3">
        <v>0</v>
      </c>
      <c r="O688" s="3">
        <v>0</v>
      </c>
      <c r="P688" s="3">
        <v>0</v>
      </c>
      <c r="Q688" s="3">
        <v>0</v>
      </c>
      <c r="R688" s="3">
        <v>0</v>
      </c>
      <c r="S688" s="3">
        <v>0</v>
      </c>
      <c r="T688" s="3">
        <v>0</v>
      </c>
      <c r="U688" s="3">
        <v>200000</v>
      </c>
      <c r="V688" s="13"/>
    </row>
    <row r="689" spans="1:22" ht="21.95" customHeight="1">
      <c r="A689" s="52" t="s">
        <v>1099</v>
      </c>
      <c r="B689" s="24" t="s">
        <v>576</v>
      </c>
      <c r="C689" s="1">
        <f t="shared" si="173"/>
        <v>1657500</v>
      </c>
      <c r="D689" s="21">
        <f t="shared" si="172"/>
        <v>0</v>
      </c>
      <c r="E689" s="21">
        <v>0</v>
      </c>
      <c r="F689" s="21">
        <v>0</v>
      </c>
      <c r="G689" s="21">
        <v>0</v>
      </c>
      <c r="H689" s="21">
        <v>0</v>
      </c>
      <c r="I689" s="21">
        <v>0</v>
      </c>
      <c r="J689" s="21">
        <v>0</v>
      </c>
      <c r="K689" s="5">
        <v>0</v>
      </c>
      <c r="L689" s="3">
        <v>0</v>
      </c>
      <c r="M689" s="3">
        <v>275</v>
      </c>
      <c r="N689" s="3">
        <v>1457500</v>
      </c>
      <c r="O689" s="3">
        <v>0</v>
      </c>
      <c r="P689" s="3">
        <v>0</v>
      </c>
      <c r="Q689" s="3">
        <v>0</v>
      </c>
      <c r="R689" s="3">
        <v>0</v>
      </c>
      <c r="S689" s="3">
        <v>0</v>
      </c>
      <c r="T689" s="3">
        <v>0</v>
      </c>
      <c r="U689" s="3">
        <v>200000</v>
      </c>
      <c r="V689" s="13"/>
    </row>
    <row r="690" spans="1:22" ht="21.95" customHeight="1">
      <c r="A690" s="52" t="s">
        <v>1100</v>
      </c>
      <c r="B690" s="24" t="s">
        <v>676</v>
      </c>
      <c r="C690" s="1">
        <f t="shared" si="173"/>
        <v>1673400</v>
      </c>
      <c r="D690" s="21">
        <f t="shared" si="172"/>
        <v>0</v>
      </c>
      <c r="E690" s="21">
        <v>0</v>
      </c>
      <c r="F690" s="21">
        <v>0</v>
      </c>
      <c r="G690" s="21">
        <v>0</v>
      </c>
      <c r="H690" s="21">
        <v>0</v>
      </c>
      <c r="I690" s="21">
        <v>0</v>
      </c>
      <c r="J690" s="21">
        <v>0</v>
      </c>
      <c r="K690" s="5">
        <v>0</v>
      </c>
      <c r="L690" s="3">
        <v>0</v>
      </c>
      <c r="M690" s="3">
        <v>278</v>
      </c>
      <c r="N690" s="3">
        <v>1473400</v>
      </c>
      <c r="O690" s="3">
        <v>0</v>
      </c>
      <c r="P690" s="3">
        <v>0</v>
      </c>
      <c r="Q690" s="3">
        <v>0</v>
      </c>
      <c r="R690" s="3">
        <v>0</v>
      </c>
      <c r="S690" s="3">
        <v>0</v>
      </c>
      <c r="T690" s="3">
        <v>0</v>
      </c>
      <c r="U690" s="3">
        <v>200000</v>
      </c>
      <c r="V690" s="13"/>
    </row>
    <row r="691" spans="1:22" ht="21.95" customHeight="1">
      <c r="A691" s="52" t="s">
        <v>1101</v>
      </c>
      <c r="B691" s="24" t="s">
        <v>677</v>
      </c>
      <c r="C691" s="1">
        <f t="shared" si="173"/>
        <v>2320000</v>
      </c>
      <c r="D691" s="21">
        <f t="shared" si="172"/>
        <v>0</v>
      </c>
      <c r="E691" s="21">
        <v>0</v>
      </c>
      <c r="F691" s="21">
        <v>0</v>
      </c>
      <c r="G691" s="21">
        <v>0</v>
      </c>
      <c r="H691" s="21">
        <v>0</v>
      </c>
      <c r="I691" s="21">
        <v>0</v>
      </c>
      <c r="J691" s="21">
        <v>0</v>
      </c>
      <c r="K691" s="5">
        <v>0</v>
      </c>
      <c r="L691" s="3">
        <v>0</v>
      </c>
      <c r="M691" s="3">
        <v>400</v>
      </c>
      <c r="N691" s="3">
        <v>2120000</v>
      </c>
      <c r="O691" s="3">
        <v>0</v>
      </c>
      <c r="P691" s="3">
        <v>0</v>
      </c>
      <c r="Q691" s="3">
        <v>0</v>
      </c>
      <c r="R691" s="3">
        <v>0</v>
      </c>
      <c r="S691" s="3">
        <v>0</v>
      </c>
      <c r="T691" s="3">
        <v>0</v>
      </c>
      <c r="U691" s="3">
        <v>200000</v>
      </c>
      <c r="V691" s="13"/>
    </row>
    <row r="692" spans="1:22" ht="21.95" customHeight="1">
      <c r="A692" s="52" t="s">
        <v>1102</v>
      </c>
      <c r="B692" s="24" t="s">
        <v>577</v>
      </c>
      <c r="C692" s="1">
        <f t="shared" si="173"/>
        <v>1572700</v>
      </c>
      <c r="D692" s="21">
        <f t="shared" si="172"/>
        <v>0</v>
      </c>
      <c r="E692" s="21">
        <v>0</v>
      </c>
      <c r="F692" s="21">
        <v>0</v>
      </c>
      <c r="G692" s="21">
        <v>0</v>
      </c>
      <c r="H692" s="21">
        <v>0</v>
      </c>
      <c r="I692" s="21">
        <v>0</v>
      </c>
      <c r="J692" s="21">
        <v>0</v>
      </c>
      <c r="K692" s="5">
        <v>0</v>
      </c>
      <c r="L692" s="3">
        <v>0</v>
      </c>
      <c r="M692" s="3">
        <v>259</v>
      </c>
      <c r="N692" s="3">
        <v>1372700</v>
      </c>
      <c r="O692" s="3">
        <v>0</v>
      </c>
      <c r="P692" s="3">
        <v>0</v>
      </c>
      <c r="Q692" s="3">
        <v>0</v>
      </c>
      <c r="R692" s="3">
        <v>0</v>
      </c>
      <c r="S692" s="3">
        <v>0</v>
      </c>
      <c r="T692" s="3">
        <v>0</v>
      </c>
      <c r="U692" s="3">
        <v>200000</v>
      </c>
      <c r="V692" s="13"/>
    </row>
    <row r="693" spans="1:22" ht="21.95" customHeight="1">
      <c r="A693" s="52" t="s">
        <v>1103</v>
      </c>
      <c r="B693" s="24" t="s">
        <v>578</v>
      </c>
      <c r="C693" s="1">
        <f t="shared" si="173"/>
        <v>3630891</v>
      </c>
      <c r="D693" s="21">
        <f t="shared" si="172"/>
        <v>1029936</v>
      </c>
      <c r="E693" s="21">
        <f>350*429.14</f>
        <v>150199</v>
      </c>
      <c r="F693" s="21">
        <f>800*429.14</f>
        <v>343312</v>
      </c>
      <c r="G693" s="21">
        <f>350*429.14</f>
        <v>150199</v>
      </c>
      <c r="H693" s="21">
        <f>500*429.14</f>
        <v>214570</v>
      </c>
      <c r="I693" s="21">
        <f>400*429.14</f>
        <v>171656</v>
      </c>
      <c r="J693" s="21">
        <v>0</v>
      </c>
      <c r="K693" s="5">
        <v>0</v>
      </c>
      <c r="L693" s="3">
        <v>0</v>
      </c>
      <c r="M693" s="3">
        <v>251</v>
      </c>
      <c r="N693" s="3">
        <v>1330300</v>
      </c>
      <c r="O693" s="3">
        <v>0</v>
      </c>
      <c r="P693" s="3">
        <v>0</v>
      </c>
      <c r="Q693" s="3">
        <v>411</v>
      </c>
      <c r="R693" s="3">
        <v>1070655</v>
      </c>
      <c r="S693" s="3">
        <v>0</v>
      </c>
      <c r="T693" s="3">
        <v>0</v>
      </c>
      <c r="U693" s="3">
        <v>200000</v>
      </c>
      <c r="V693" s="13"/>
    </row>
    <row r="694" spans="1:22" ht="21.95" customHeight="1">
      <c r="A694" s="52" t="s">
        <v>1104</v>
      </c>
      <c r="B694" s="24" t="s">
        <v>678</v>
      </c>
      <c r="C694" s="1">
        <f t="shared" si="173"/>
        <v>2611500</v>
      </c>
      <c r="D694" s="21">
        <f t="shared" si="172"/>
        <v>0</v>
      </c>
      <c r="E694" s="21">
        <v>0</v>
      </c>
      <c r="F694" s="21">
        <v>0</v>
      </c>
      <c r="G694" s="21">
        <v>0</v>
      </c>
      <c r="H694" s="21">
        <v>0</v>
      </c>
      <c r="I694" s="21">
        <v>0</v>
      </c>
      <c r="J694" s="21">
        <v>0</v>
      </c>
      <c r="K694" s="5">
        <v>0</v>
      </c>
      <c r="L694" s="3">
        <v>0</v>
      </c>
      <c r="M694" s="3">
        <v>455</v>
      </c>
      <c r="N694" s="3">
        <v>2411500</v>
      </c>
      <c r="O694" s="3">
        <v>0</v>
      </c>
      <c r="P694" s="3">
        <v>0</v>
      </c>
      <c r="Q694" s="3">
        <v>0</v>
      </c>
      <c r="R694" s="3">
        <v>0</v>
      </c>
      <c r="S694" s="3">
        <v>0</v>
      </c>
      <c r="T694" s="3">
        <v>0</v>
      </c>
      <c r="U694" s="3">
        <v>200000</v>
      </c>
      <c r="V694" s="13"/>
    </row>
    <row r="695" spans="1:22" ht="21.95" customHeight="1">
      <c r="A695" s="52" t="s">
        <v>1105</v>
      </c>
      <c r="B695" s="24" t="s">
        <v>425</v>
      </c>
      <c r="C695" s="1">
        <f t="shared" si="173"/>
        <v>2871900</v>
      </c>
      <c r="D695" s="21">
        <f t="shared" si="172"/>
        <v>0</v>
      </c>
      <c r="E695" s="21">
        <v>0</v>
      </c>
      <c r="F695" s="21">
        <v>0</v>
      </c>
      <c r="G695" s="21">
        <v>0</v>
      </c>
      <c r="H695" s="21">
        <v>0</v>
      </c>
      <c r="I695" s="21">
        <v>0</v>
      </c>
      <c r="J695" s="21">
        <v>0</v>
      </c>
      <c r="K695" s="40">
        <v>0</v>
      </c>
      <c r="L695" s="21">
        <v>0</v>
      </c>
      <c r="M695" s="21">
        <v>523</v>
      </c>
      <c r="N695" s="21">
        <v>2771900</v>
      </c>
      <c r="O695" s="21">
        <v>0</v>
      </c>
      <c r="P695" s="21">
        <v>0</v>
      </c>
      <c r="Q695" s="21">
        <v>0</v>
      </c>
      <c r="R695" s="21">
        <v>0</v>
      </c>
      <c r="S695" s="21">
        <v>0</v>
      </c>
      <c r="T695" s="3">
        <v>0</v>
      </c>
      <c r="U695" s="21">
        <v>100000</v>
      </c>
    </row>
    <row r="696" spans="1:22" ht="21.95" customHeight="1">
      <c r="A696" s="52" t="s">
        <v>1106</v>
      </c>
      <c r="B696" s="24" t="s">
        <v>679</v>
      </c>
      <c r="C696" s="1">
        <f t="shared" si="173"/>
        <v>1620400</v>
      </c>
      <c r="D696" s="21">
        <f t="shared" si="172"/>
        <v>0</v>
      </c>
      <c r="E696" s="21">
        <v>0</v>
      </c>
      <c r="F696" s="21">
        <v>0</v>
      </c>
      <c r="G696" s="21">
        <v>0</v>
      </c>
      <c r="H696" s="21">
        <v>0</v>
      </c>
      <c r="I696" s="21">
        <v>0</v>
      </c>
      <c r="J696" s="21">
        <v>0</v>
      </c>
      <c r="K696" s="5">
        <v>0</v>
      </c>
      <c r="L696" s="3">
        <v>0</v>
      </c>
      <c r="M696" s="3">
        <v>268</v>
      </c>
      <c r="N696" s="3">
        <v>1420400</v>
      </c>
      <c r="O696" s="3">
        <v>0</v>
      </c>
      <c r="P696" s="3">
        <v>0</v>
      </c>
      <c r="Q696" s="3">
        <v>0</v>
      </c>
      <c r="R696" s="3">
        <v>0</v>
      </c>
      <c r="S696" s="3">
        <v>0</v>
      </c>
      <c r="T696" s="3">
        <v>0</v>
      </c>
      <c r="U696" s="3">
        <v>200000</v>
      </c>
      <c r="V696" s="13"/>
    </row>
    <row r="697" spans="1:22" ht="21.95" customHeight="1">
      <c r="A697" s="52" t="s">
        <v>1107</v>
      </c>
      <c r="B697" s="24" t="s">
        <v>680</v>
      </c>
      <c r="C697" s="1">
        <f t="shared" si="173"/>
        <v>1620400</v>
      </c>
      <c r="D697" s="21">
        <f t="shared" si="172"/>
        <v>0</v>
      </c>
      <c r="E697" s="21">
        <v>0</v>
      </c>
      <c r="F697" s="21">
        <v>0</v>
      </c>
      <c r="G697" s="21">
        <v>0</v>
      </c>
      <c r="H697" s="21">
        <v>0</v>
      </c>
      <c r="I697" s="21">
        <v>0</v>
      </c>
      <c r="J697" s="21">
        <v>0</v>
      </c>
      <c r="K697" s="5">
        <v>0</v>
      </c>
      <c r="L697" s="3">
        <v>0</v>
      </c>
      <c r="M697" s="3">
        <v>268</v>
      </c>
      <c r="N697" s="3">
        <v>1420400</v>
      </c>
      <c r="O697" s="3">
        <v>0</v>
      </c>
      <c r="P697" s="3">
        <v>0</v>
      </c>
      <c r="Q697" s="3">
        <v>0</v>
      </c>
      <c r="R697" s="3">
        <v>0</v>
      </c>
      <c r="S697" s="3">
        <v>0</v>
      </c>
      <c r="T697" s="3">
        <v>0</v>
      </c>
      <c r="U697" s="3">
        <v>200000</v>
      </c>
      <c r="V697" s="13"/>
    </row>
    <row r="698" spans="1:22" ht="21.95" customHeight="1">
      <c r="A698" s="52" t="s">
        <v>1108</v>
      </c>
      <c r="B698" s="24" t="s">
        <v>681</v>
      </c>
      <c r="C698" s="1">
        <f t="shared" si="173"/>
        <v>1593900</v>
      </c>
      <c r="D698" s="21">
        <f t="shared" si="172"/>
        <v>0</v>
      </c>
      <c r="E698" s="21">
        <v>0</v>
      </c>
      <c r="F698" s="21">
        <v>0</v>
      </c>
      <c r="G698" s="21">
        <v>0</v>
      </c>
      <c r="H698" s="21">
        <v>0</v>
      </c>
      <c r="I698" s="21">
        <v>0</v>
      </c>
      <c r="J698" s="21">
        <v>0</v>
      </c>
      <c r="K698" s="5">
        <v>0</v>
      </c>
      <c r="L698" s="3">
        <v>0</v>
      </c>
      <c r="M698" s="3">
        <v>263</v>
      </c>
      <c r="N698" s="3">
        <v>1393900</v>
      </c>
      <c r="O698" s="3">
        <v>0</v>
      </c>
      <c r="P698" s="3">
        <v>0</v>
      </c>
      <c r="Q698" s="3">
        <v>0</v>
      </c>
      <c r="R698" s="3">
        <v>0</v>
      </c>
      <c r="S698" s="3">
        <v>0</v>
      </c>
      <c r="T698" s="3">
        <v>0</v>
      </c>
      <c r="U698" s="3">
        <v>200000</v>
      </c>
      <c r="V698" s="13"/>
    </row>
    <row r="699" spans="1:22" ht="21.95" customHeight="1">
      <c r="A699" s="52" t="s">
        <v>1109</v>
      </c>
      <c r="B699" s="24" t="s">
        <v>682</v>
      </c>
      <c r="C699" s="1">
        <f t="shared" si="173"/>
        <v>1257350</v>
      </c>
      <c r="D699" s="21">
        <f t="shared" si="172"/>
        <v>0</v>
      </c>
      <c r="E699" s="21">
        <v>0</v>
      </c>
      <c r="F699" s="21">
        <v>0</v>
      </c>
      <c r="G699" s="21">
        <v>0</v>
      </c>
      <c r="H699" s="21">
        <v>0</v>
      </c>
      <c r="I699" s="21">
        <v>0</v>
      </c>
      <c r="J699" s="21">
        <v>0</v>
      </c>
      <c r="K699" s="5">
        <v>0</v>
      </c>
      <c r="L699" s="3">
        <v>0</v>
      </c>
      <c r="M699" s="3">
        <v>199.5</v>
      </c>
      <c r="N699" s="3">
        <v>1057350</v>
      </c>
      <c r="O699" s="3">
        <v>0</v>
      </c>
      <c r="P699" s="3">
        <v>0</v>
      </c>
      <c r="Q699" s="3">
        <v>0</v>
      </c>
      <c r="R699" s="3">
        <v>0</v>
      </c>
      <c r="S699" s="3">
        <v>0</v>
      </c>
      <c r="T699" s="3">
        <v>0</v>
      </c>
      <c r="U699" s="3">
        <v>200000</v>
      </c>
      <c r="V699" s="13"/>
    </row>
    <row r="700" spans="1:22" ht="21.95" customHeight="1">
      <c r="A700" s="52" t="s">
        <v>1110</v>
      </c>
      <c r="B700" s="24" t="s">
        <v>579</v>
      </c>
      <c r="C700" s="1">
        <f t="shared" si="173"/>
        <v>2304100</v>
      </c>
      <c r="D700" s="21">
        <f t="shared" si="172"/>
        <v>0</v>
      </c>
      <c r="E700" s="21">
        <v>0</v>
      </c>
      <c r="F700" s="21">
        <v>0</v>
      </c>
      <c r="G700" s="21">
        <v>0</v>
      </c>
      <c r="H700" s="21">
        <v>0</v>
      </c>
      <c r="I700" s="21">
        <v>0</v>
      </c>
      <c r="J700" s="21">
        <v>0</v>
      </c>
      <c r="K700" s="5">
        <v>0</v>
      </c>
      <c r="L700" s="3">
        <v>0</v>
      </c>
      <c r="M700" s="3">
        <v>397</v>
      </c>
      <c r="N700" s="3">
        <v>2104100</v>
      </c>
      <c r="O700" s="3">
        <v>0</v>
      </c>
      <c r="P700" s="3">
        <v>0</v>
      </c>
      <c r="Q700" s="3">
        <v>0</v>
      </c>
      <c r="R700" s="3">
        <v>0</v>
      </c>
      <c r="S700" s="3">
        <v>0</v>
      </c>
      <c r="T700" s="3">
        <v>0</v>
      </c>
      <c r="U700" s="3">
        <v>200000</v>
      </c>
      <c r="V700" s="13"/>
    </row>
    <row r="701" spans="1:22" ht="21.95" customHeight="1">
      <c r="A701" s="52" t="s">
        <v>1111</v>
      </c>
      <c r="B701" s="24" t="s">
        <v>683</v>
      </c>
      <c r="C701" s="1">
        <f t="shared" si="173"/>
        <v>1528180</v>
      </c>
      <c r="D701" s="21">
        <f t="shared" si="172"/>
        <v>0</v>
      </c>
      <c r="E701" s="21">
        <v>0</v>
      </c>
      <c r="F701" s="21">
        <v>0</v>
      </c>
      <c r="G701" s="21">
        <v>0</v>
      </c>
      <c r="H701" s="21">
        <v>0</v>
      </c>
      <c r="I701" s="21">
        <v>0</v>
      </c>
      <c r="J701" s="21">
        <v>0</v>
      </c>
      <c r="K701" s="5">
        <v>0</v>
      </c>
      <c r="L701" s="3">
        <v>0</v>
      </c>
      <c r="M701" s="3">
        <v>250.6</v>
      </c>
      <c r="N701" s="3">
        <v>1328180</v>
      </c>
      <c r="O701" s="3">
        <v>0</v>
      </c>
      <c r="P701" s="3">
        <v>0</v>
      </c>
      <c r="Q701" s="3">
        <v>0</v>
      </c>
      <c r="R701" s="3">
        <v>0</v>
      </c>
      <c r="S701" s="3">
        <v>0</v>
      </c>
      <c r="T701" s="3">
        <v>0</v>
      </c>
      <c r="U701" s="3">
        <v>200000</v>
      </c>
      <c r="V701" s="13"/>
    </row>
    <row r="702" spans="1:22" ht="21.95" customHeight="1">
      <c r="A702" s="52" t="s">
        <v>1112</v>
      </c>
      <c r="B702" s="24" t="s">
        <v>684</v>
      </c>
      <c r="C702" s="1">
        <f t="shared" si="173"/>
        <v>1539840</v>
      </c>
      <c r="D702" s="21">
        <f t="shared" si="172"/>
        <v>0</v>
      </c>
      <c r="E702" s="21">
        <v>0</v>
      </c>
      <c r="F702" s="21">
        <v>0</v>
      </c>
      <c r="G702" s="21">
        <v>0</v>
      </c>
      <c r="H702" s="21">
        <v>0</v>
      </c>
      <c r="I702" s="21">
        <v>0</v>
      </c>
      <c r="J702" s="21">
        <v>0</v>
      </c>
      <c r="K702" s="5">
        <v>0</v>
      </c>
      <c r="L702" s="3">
        <v>0</v>
      </c>
      <c r="M702" s="3">
        <v>252.8</v>
      </c>
      <c r="N702" s="3">
        <v>1339840</v>
      </c>
      <c r="O702" s="3">
        <v>0</v>
      </c>
      <c r="P702" s="3">
        <v>0</v>
      </c>
      <c r="Q702" s="3">
        <v>0</v>
      </c>
      <c r="R702" s="3">
        <v>0</v>
      </c>
      <c r="S702" s="3">
        <v>0</v>
      </c>
      <c r="T702" s="3">
        <v>0</v>
      </c>
      <c r="U702" s="3">
        <v>200000</v>
      </c>
      <c r="V702" s="13"/>
    </row>
    <row r="703" spans="1:22" ht="21.95" customHeight="1">
      <c r="A703" s="52" t="s">
        <v>1113</v>
      </c>
      <c r="B703" s="24" t="s">
        <v>685</v>
      </c>
      <c r="C703" s="1">
        <f t="shared" si="173"/>
        <v>1601320</v>
      </c>
      <c r="D703" s="21">
        <f t="shared" si="172"/>
        <v>0</v>
      </c>
      <c r="E703" s="21">
        <v>0</v>
      </c>
      <c r="F703" s="21">
        <v>0</v>
      </c>
      <c r="G703" s="21">
        <v>0</v>
      </c>
      <c r="H703" s="21">
        <v>0</v>
      </c>
      <c r="I703" s="21">
        <v>0</v>
      </c>
      <c r="J703" s="21">
        <v>0</v>
      </c>
      <c r="K703" s="5">
        <v>0</v>
      </c>
      <c r="L703" s="3">
        <v>0</v>
      </c>
      <c r="M703" s="3">
        <v>264.39999999999998</v>
      </c>
      <c r="N703" s="3">
        <v>1401320</v>
      </c>
      <c r="O703" s="3">
        <v>0</v>
      </c>
      <c r="P703" s="3">
        <v>0</v>
      </c>
      <c r="Q703" s="3">
        <v>0</v>
      </c>
      <c r="R703" s="3">
        <v>0</v>
      </c>
      <c r="S703" s="3">
        <v>0</v>
      </c>
      <c r="T703" s="3">
        <v>0</v>
      </c>
      <c r="U703" s="3">
        <v>200000</v>
      </c>
      <c r="V703" s="13"/>
    </row>
    <row r="704" spans="1:22" ht="21.95" customHeight="1">
      <c r="A704" s="52" t="s">
        <v>1114</v>
      </c>
      <c r="B704" s="24" t="s">
        <v>580</v>
      </c>
      <c r="C704" s="1">
        <f t="shared" si="173"/>
        <v>1499560</v>
      </c>
      <c r="D704" s="21">
        <f t="shared" si="172"/>
        <v>0</v>
      </c>
      <c r="E704" s="21">
        <v>0</v>
      </c>
      <c r="F704" s="21">
        <v>0</v>
      </c>
      <c r="G704" s="21">
        <v>0</v>
      </c>
      <c r="H704" s="21">
        <v>0</v>
      </c>
      <c r="I704" s="21">
        <v>0</v>
      </c>
      <c r="J704" s="21">
        <v>0</v>
      </c>
      <c r="K704" s="5">
        <v>0</v>
      </c>
      <c r="L704" s="3">
        <v>0</v>
      </c>
      <c r="M704" s="3">
        <v>245.2</v>
      </c>
      <c r="N704" s="3">
        <v>1299560</v>
      </c>
      <c r="O704" s="3">
        <v>0</v>
      </c>
      <c r="P704" s="3">
        <v>0</v>
      </c>
      <c r="Q704" s="3">
        <v>0</v>
      </c>
      <c r="R704" s="3">
        <v>0</v>
      </c>
      <c r="S704" s="3">
        <v>0</v>
      </c>
      <c r="T704" s="3">
        <v>0</v>
      </c>
      <c r="U704" s="3">
        <v>200000</v>
      </c>
      <c r="V704" s="13"/>
    </row>
    <row r="705" spans="1:22" ht="21.95" customHeight="1">
      <c r="A705" s="52" t="s">
        <v>1115</v>
      </c>
      <c r="B705" s="24" t="s">
        <v>491</v>
      </c>
      <c r="C705" s="1">
        <f t="shared" si="173"/>
        <v>1588600</v>
      </c>
      <c r="D705" s="21">
        <f t="shared" si="172"/>
        <v>0</v>
      </c>
      <c r="E705" s="21">
        <v>0</v>
      </c>
      <c r="F705" s="21">
        <v>0</v>
      </c>
      <c r="G705" s="21">
        <v>0</v>
      </c>
      <c r="H705" s="21">
        <v>0</v>
      </c>
      <c r="I705" s="21">
        <v>0</v>
      </c>
      <c r="J705" s="21">
        <v>0</v>
      </c>
      <c r="K705" s="40">
        <v>0</v>
      </c>
      <c r="L705" s="21">
        <v>0</v>
      </c>
      <c r="M705" s="21">
        <v>262</v>
      </c>
      <c r="N705" s="21">
        <f>M705*5300</f>
        <v>1388600</v>
      </c>
      <c r="O705" s="21">
        <v>0</v>
      </c>
      <c r="P705" s="21">
        <v>0</v>
      </c>
      <c r="Q705" s="21">
        <v>0</v>
      </c>
      <c r="R705" s="21">
        <v>0</v>
      </c>
      <c r="S705" s="21">
        <v>0</v>
      </c>
      <c r="T705" s="3">
        <v>0</v>
      </c>
      <c r="U705" s="21">
        <v>200000</v>
      </c>
    </row>
    <row r="706" spans="1:22" ht="21.95" customHeight="1">
      <c r="A706" s="52" t="s">
        <v>1116</v>
      </c>
      <c r="B706" s="24" t="s">
        <v>686</v>
      </c>
      <c r="C706" s="1">
        <f t="shared" si="173"/>
        <v>2116480</v>
      </c>
      <c r="D706" s="21">
        <f t="shared" si="172"/>
        <v>0</v>
      </c>
      <c r="E706" s="21">
        <v>0</v>
      </c>
      <c r="F706" s="21">
        <v>0</v>
      </c>
      <c r="G706" s="21">
        <v>0</v>
      </c>
      <c r="H706" s="21">
        <v>0</v>
      </c>
      <c r="I706" s="21">
        <v>0</v>
      </c>
      <c r="J706" s="21">
        <v>0</v>
      </c>
      <c r="K706" s="5">
        <v>0</v>
      </c>
      <c r="L706" s="3">
        <v>0</v>
      </c>
      <c r="M706" s="3">
        <v>361.6</v>
      </c>
      <c r="N706" s="3">
        <v>1916480</v>
      </c>
      <c r="O706" s="3">
        <v>0</v>
      </c>
      <c r="P706" s="3">
        <v>0</v>
      </c>
      <c r="Q706" s="3">
        <v>0</v>
      </c>
      <c r="R706" s="3">
        <v>0</v>
      </c>
      <c r="S706" s="3">
        <v>0</v>
      </c>
      <c r="T706" s="3">
        <v>0</v>
      </c>
      <c r="U706" s="3">
        <v>200000</v>
      </c>
      <c r="V706" s="13"/>
    </row>
    <row r="707" spans="1:22" ht="21.95" customHeight="1">
      <c r="A707" s="52" t="s">
        <v>1117</v>
      </c>
      <c r="B707" s="24" t="s">
        <v>581</v>
      </c>
      <c r="C707" s="1">
        <f t="shared" si="173"/>
        <v>1498500</v>
      </c>
      <c r="D707" s="21">
        <f t="shared" si="172"/>
        <v>0</v>
      </c>
      <c r="E707" s="21">
        <v>0</v>
      </c>
      <c r="F707" s="21">
        <v>0</v>
      </c>
      <c r="G707" s="21">
        <v>0</v>
      </c>
      <c r="H707" s="21">
        <v>0</v>
      </c>
      <c r="I707" s="21">
        <v>0</v>
      </c>
      <c r="J707" s="21">
        <v>0</v>
      </c>
      <c r="K707" s="5">
        <v>0</v>
      </c>
      <c r="L707" s="3">
        <v>0</v>
      </c>
      <c r="M707" s="3">
        <v>245</v>
      </c>
      <c r="N707" s="3">
        <v>1298500</v>
      </c>
      <c r="O707" s="3">
        <v>0</v>
      </c>
      <c r="P707" s="3">
        <v>0</v>
      </c>
      <c r="Q707" s="3">
        <v>0</v>
      </c>
      <c r="R707" s="3">
        <v>0</v>
      </c>
      <c r="S707" s="3">
        <v>0</v>
      </c>
      <c r="T707" s="3">
        <v>0</v>
      </c>
      <c r="U707" s="3">
        <v>200000</v>
      </c>
      <c r="V707" s="13"/>
    </row>
    <row r="708" spans="1:22" ht="21.95" customHeight="1">
      <c r="A708" s="52" t="s">
        <v>1118</v>
      </c>
      <c r="B708" s="24" t="s">
        <v>582</v>
      </c>
      <c r="C708" s="1">
        <f t="shared" si="173"/>
        <v>1503270</v>
      </c>
      <c r="D708" s="21">
        <f t="shared" ref="D708:D721" si="174">SUM(E708:J708)</f>
        <v>0</v>
      </c>
      <c r="E708" s="21">
        <v>0</v>
      </c>
      <c r="F708" s="21">
        <v>0</v>
      </c>
      <c r="G708" s="21">
        <v>0</v>
      </c>
      <c r="H708" s="21">
        <v>0</v>
      </c>
      <c r="I708" s="21">
        <v>0</v>
      </c>
      <c r="J708" s="21">
        <v>0</v>
      </c>
      <c r="K708" s="5">
        <v>0</v>
      </c>
      <c r="L708" s="3">
        <v>0</v>
      </c>
      <c r="M708" s="3">
        <v>245.9</v>
      </c>
      <c r="N708" s="3">
        <v>1303270</v>
      </c>
      <c r="O708" s="3">
        <v>0</v>
      </c>
      <c r="P708" s="3">
        <v>0</v>
      </c>
      <c r="Q708" s="3">
        <v>0</v>
      </c>
      <c r="R708" s="3">
        <v>0</v>
      </c>
      <c r="S708" s="3">
        <v>0</v>
      </c>
      <c r="T708" s="3">
        <v>0</v>
      </c>
      <c r="U708" s="3">
        <v>200000</v>
      </c>
      <c r="V708" s="13"/>
    </row>
    <row r="709" spans="1:22" ht="21.95" customHeight="1">
      <c r="A709" s="52" t="s">
        <v>1119</v>
      </c>
      <c r="B709" s="24" t="s">
        <v>583</v>
      </c>
      <c r="C709" s="1">
        <f t="shared" si="173"/>
        <v>1496380</v>
      </c>
      <c r="D709" s="21">
        <f t="shared" si="174"/>
        <v>0</v>
      </c>
      <c r="E709" s="21">
        <v>0</v>
      </c>
      <c r="F709" s="21">
        <v>0</v>
      </c>
      <c r="G709" s="21">
        <v>0</v>
      </c>
      <c r="H709" s="21">
        <v>0</v>
      </c>
      <c r="I709" s="21">
        <v>0</v>
      </c>
      <c r="J709" s="21">
        <v>0</v>
      </c>
      <c r="K709" s="5">
        <v>0</v>
      </c>
      <c r="L709" s="3">
        <v>0</v>
      </c>
      <c r="M709" s="3">
        <v>244.6</v>
      </c>
      <c r="N709" s="3">
        <v>1296380</v>
      </c>
      <c r="O709" s="3">
        <v>0</v>
      </c>
      <c r="P709" s="3">
        <v>0</v>
      </c>
      <c r="Q709" s="3">
        <v>0</v>
      </c>
      <c r="R709" s="3">
        <v>0</v>
      </c>
      <c r="S709" s="3">
        <v>0</v>
      </c>
      <c r="T709" s="3">
        <v>0</v>
      </c>
      <c r="U709" s="3">
        <v>200000</v>
      </c>
      <c r="V709" s="13"/>
    </row>
    <row r="710" spans="1:22" ht="21.95" customHeight="1">
      <c r="A710" s="52" t="s">
        <v>1120</v>
      </c>
      <c r="B710" s="24" t="s">
        <v>584</v>
      </c>
      <c r="C710" s="1">
        <f t="shared" si="173"/>
        <v>1530300</v>
      </c>
      <c r="D710" s="21">
        <f t="shared" si="174"/>
        <v>0</v>
      </c>
      <c r="E710" s="21">
        <v>0</v>
      </c>
      <c r="F710" s="21">
        <v>0</v>
      </c>
      <c r="G710" s="21">
        <v>0</v>
      </c>
      <c r="H710" s="21">
        <v>0</v>
      </c>
      <c r="I710" s="21">
        <v>0</v>
      </c>
      <c r="J710" s="21">
        <v>0</v>
      </c>
      <c r="K710" s="5">
        <v>0</v>
      </c>
      <c r="L710" s="3">
        <v>0</v>
      </c>
      <c r="M710" s="3">
        <v>251</v>
      </c>
      <c r="N710" s="3">
        <v>1330300</v>
      </c>
      <c r="O710" s="3">
        <v>0</v>
      </c>
      <c r="P710" s="3">
        <v>0</v>
      </c>
      <c r="Q710" s="3">
        <v>0</v>
      </c>
      <c r="R710" s="3">
        <v>0</v>
      </c>
      <c r="S710" s="3">
        <v>0</v>
      </c>
      <c r="T710" s="3">
        <v>0</v>
      </c>
      <c r="U710" s="3">
        <v>200000</v>
      </c>
      <c r="V710" s="13"/>
    </row>
    <row r="711" spans="1:22" ht="21.95" customHeight="1">
      <c r="A711" s="52" t="s">
        <v>1121</v>
      </c>
      <c r="B711" s="24" t="s">
        <v>585</v>
      </c>
      <c r="C711" s="1">
        <f t="shared" si="173"/>
        <v>1505920</v>
      </c>
      <c r="D711" s="21">
        <f t="shared" si="174"/>
        <v>0</v>
      </c>
      <c r="E711" s="21">
        <v>0</v>
      </c>
      <c r="F711" s="21">
        <v>0</v>
      </c>
      <c r="G711" s="21">
        <v>0</v>
      </c>
      <c r="H711" s="21">
        <v>0</v>
      </c>
      <c r="I711" s="21">
        <v>0</v>
      </c>
      <c r="J711" s="21">
        <v>0</v>
      </c>
      <c r="K711" s="5">
        <v>0</v>
      </c>
      <c r="L711" s="3">
        <v>0</v>
      </c>
      <c r="M711" s="3">
        <v>246.4</v>
      </c>
      <c r="N711" s="3">
        <v>1305920</v>
      </c>
      <c r="O711" s="3">
        <v>0</v>
      </c>
      <c r="P711" s="3">
        <v>0</v>
      </c>
      <c r="Q711" s="3">
        <v>0</v>
      </c>
      <c r="R711" s="3">
        <v>0</v>
      </c>
      <c r="S711" s="3">
        <v>0</v>
      </c>
      <c r="T711" s="3">
        <v>0</v>
      </c>
      <c r="U711" s="3">
        <v>200000</v>
      </c>
      <c r="V711" s="13"/>
    </row>
    <row r="712" spans="1:22" ht="21.95" customHeight="1">
      <c r="A712" s="52" t="s">
        <v>1122</v>
      </c>
      <c r="B712" s="24" t="s">
        <v>586</v>
      </c>
      <c r="C712" s="1">
        <f t="shared" si="173"/>
        <v>1503800</v>
      </c>
      <c r="D712" s="21">
        <f t="shared" si="174"/>
        <v>0</v>
      </c>
      <c r="E712" s="21">
        <v>0</v>
      </c>
      <c r="F712" s="21">
        <v>0</v>
      </c>
      <c r="G712" s="21">
        <v>0</v>
      </c>
      <c r="H712" s="21">
        <v>0</v>
      </c>
      <c r="I712" s="21">
        <v>0</v>
      </c>
      <c r="J712" s="21">
        <v>0</v>
      </c>
      <c r="K712" s="5">
        <v>0</v>
      </c>
      <c r="L712" s="3">
        <v>0</v>
      </c>
      <c r="M712" s="3">
        <v>246</v>
      </c>
      <c r="N712" s="3">
        <v>1303800</v>
      </c>
      <c r="O712" s="3">
        <v>0</v>
      </c>
      <c r="P712" s="3">
        <v>0</v>
      </c>
      <c r="Q712" s="3">
        <v>0</v>
      </c>
      <c r="R712" s="3">
        <v>0</v>
      </c>
      <c r="S712" s="3">
        <v>0</v>
      </c>
      <c r="T712" s="3">
        <v>0</v>
      </c>
      <c r="U712" s="3">
        <v>200000</v>
      </c>
      <c r="V712" s="13"/>
    </row>
    <row r="713" spans="1:22" ht="21.95" customHeight="1">
      <c r="A713" s="52" t="s">
        <v>1123</v>
      </c>
      <c r="B713" s="24" t="s">
        <v>587</v>
      </c>
      <c r="C713" s="1">
        <f t="shared" si="173"/>
        <v>2228310</v>
      </c>
      <c r="D713" s="21">
        <f t="shared" si="174"/>
        <v>0</v>
      </c>
      <c r="E713" s="21">
        <v>0</v>
      </c>
      <c r="F713" s="21">
        <v>0</v>
      </c>
      <c r="G713" s="21">
        <v>0</v>
      </c>
      <c r="H713" s="21">
        <v>0</v>
      </c>
      <c r="I713" s="21">
        <v>0</v>
      </c>
      <c r="J713" s="21">
        <v>0</v>
      </c>
      <c r="K713" s="5">
        <v>0</v>
      </c>
      <c r="L713" s="3">
        <v>0</v>
      </c>
      <c r="M713" s="3">
        <v>382.7</v>
      </c>
      <c r="N713" s="3">
        <v>2028310</v>
      </c>
      <c r="O713" s="3">
        <v>0</v>
      </c>
      <c r="P713" s="3">
        <v>0</v>
      </c>
      <c r="Q713" s="3">
        <v>0</v>
      </c>
      <c r="R713" s="3">
        <v>0</v>
      </c>
      <c r="S713" s="3">
        <v>0</v>
      </c>
      <c r="T713" s="3">
        <v>0</v>
      </c>
      <c r="U713" s="3">
        <v>200000</v>
      </c>
      <c r="V713" s="13"/>
    </row>
    <row r="714" spans="1:22" ht="21.95" customHeight="1">
      <c r="A714" s="52" t="s">
        <v>1124</v>
      </c>
      <c r="B714" s="24" t="s">
        <v>588</v>
      </c>
      <c r="C714" s="1">
        <f t="shared" si="173"/>
        <v>1530300</v>
      </c>
      <c r="D714" s="21">
        <f t="shared" si="174"/>
        <v>0</v>
      </c>
      <c r="E714" s="21">
        <v>0</v>
      </c>
      <c r="F714" s="21">
        <v>0</v>
      </c>
      <c r="G714" s="21">
        <v>0</v>
      </c>
      <c r="H714" s="21">
        <v>0</v>
      </c>
      <c r="I714" s="21">
        <v>0</v>
      </c>
      <c r="J714" s="21">
        <v>0</v>
      </c>
      <c r="K714" s="5">
        <v>0</v>
      </c>
      <c r="L714" s="3">
        <v>0</v>
      </c>
      <c r="M714" s="3">
        <v>251</v>
      </c>
      <c r="N714" s="3">
        <v>1330300</v>
      </c>
      <c r="O714" s="3">
        <v>0</v>
      </c>
      <c r="P714" s="3">
        <v>0</v>
      </c>
      <c r="Q714" s="3">
        <v>0</v>
      </c>
      <c r="R714" s="3">
        <v>0</v>
      </c>
      <c r="S714" s="3">
        <v>0</v>
      </c>
      <c r="T714" s="3">
        <v>0</v>
      </c>
      <c r="U714" s="3">
        <v>200000</v>
      </c>
      <c r="V714" s="13"/>
    </row>
    <row r="715" spans="1:22" ht="21.95" customHeight="1">
      <c r="A715" s="52" t="s">
        <v>1125</v>
      </c>
      <c r="B715" s="24" t="s">
        <v>589</v>
      </c>
      <c r="C715" s="1">
        <f t="shared" si="173"/>
        <v>1677640</v>
      </c>
      <c r="D715" s="21">
        <f t="shared" si="174"/>
        <v>0</v>
      </c>
      <c r="E715" s="21">
        <v>0</v>
      </c>
      <c r="F715" s="21">
        <v>0</v>
      </c>
      <c r="G715" s="21">
        <v>0</v>
      </c>
      <c r="H715" s="21">
        <v>0</v>
      </c>
      <c r="I715" s="21">
        <v>0</v>
      </c>
      <c r="J715" s="21">
        <v>0</v>
      </c>
      <c r="K715" s="5">
        <v>0</v>
      </c>
      <c r="L715" s="3">
        <v>0</v>
      </c>
      <c r="M715" s="3">
        <v>278.8</v>
      </c>
      <c r="N715" s="3">
        <v>1477640</v>
      </c>
      <c r="O715" s="3">
        <v>0</v>
      </c>
      <c r="P715" s="3">
        <v>0</v>
      </c>
      <c r="Q715" s="3">
        <v>0</v>
      </c>
      <c r="R715" s="3">
        <v>0</v>
      </c>
      <c r="S715" s="3">
        <v>0</v>
      </c>
      <c r="T715" s="3">
        <v>0</v>
      </c>
      <c r="U715" s="3">
        <v>200000</v>
      </c>
      <c r="V715" s="13"/>
    </row>
    <row r="716" spans="1:22" ht="21.95" customHeight="1">
      <c r="A716" s="52" t="s">
        <v>1126</v>
      </c>
      <c r="B716" s="24" t="s">
        <v>590</v>
      </c>
      <c r="C716" s="1">
        <f t="shared" si="173"/>
        <v>1677640</v>
      </c>
      <c r="D716" s="21">
        <f t="shared" si="174"/>
        <v>0</v>
      </c>
      <c r="E716" s="21">
        <v>0</v>
      </c>
      <c r="F716" s="21">
        <v>0</v>
      </c>
      <c r="G716" s="21">
        <v>0</v>
      </c>
      <c r="H716" s="21">
        <v>0</v>
      </c>
      <c r="I716" s="21">
        <v>0</v>
      </c>
      <c r="J716" s="21">
        <v>0</v>
      </c>
      <c r="K716" s="5">
        <v>0</v>
      </c>
      <c r="L716" s="3">
        <v>0</v>
      </c>
      <c r="M716" s="3">
        <v>278.8</v>
      </c>
      <c r="N716" s="3">
        <v>1477640</v>
      </c>
      <c r="O716" s="3">
        <v>0</v>
      </c>
      <c r="P716" s="3">
        <v>0</v>
      </c>
      <c r="Q716" s="3">
        <v>0</v>
      </c>
      <c r="R716" s="3">
        <v>0</v>
      </c>
      <c r="S716" s="3">
        <v>0</v>
      </c>
      <c r="T716" s="3">
        <v>0</v>
      </c>
      <c r="U716" s="3">
        <v>200000</v>
      </c>
      <c r="V716" s="13"/>
    </row>
    <row r="717" spans="1:22" ht="21.95" customHeight="1">
      <c r="A717" s="52" t="s">
        <v>1127</v>
      </c>
      <c r="B717" s="24" t="s">
        <v>591</v>
      </c>
      <c r="C717" s="1">
        <f t="shared" si="173"/>
        <v>1677640</v>
      </c>
      <c r="D717" s="21">
        <f t="shared" si="174"/>
        <v>0</v>
      </c>
      <c r="E717" s="21">
        <v>0</v>
      </c>
      <c r="F717" s="21">
        <v>0</v>
      </c>
      <c r="G717" s="21">
        <v>0</v>
      </c>
      <c r="H717" s="21">
        <v>0</v>
      </c>
      <c r="I717" s="21">
        <v>0</v>
      </c>
      <c r="J717" s="21">
        <v>0</v>
      </c>
      <c r="K717" s="5">
        <v>0</v>
      </c>
      <c r="L717" s="3">
        <v>0</v>
      </c>
      <c r="M717" s="3">
        <v>278.8</v>
      </c>
      <c r="N717" s="3">
        <v>1477640</v>
      </c>
      <c r="O717" s="3">
        <v>0</v>
      </c>
      <c r="P717" s="3">
        <v>0</v>
      </c>
      <c r="Q717" s="3">
        <v>0</v>
      </c>
      <c r="R717" s="3">
        <v>0</v>
      </c>
      <c r="S717" s="3">
        <v>0</v>
      </c>
      <c r="T717" s="3">
        <v>0</v>
      </c>
      <c r="U717" s="3">
        <v>200000</v>
      </c>
      <c r="V717" s="13"/>
    </row>
    <row r="718" spans="1:22" ht="21.95" customHeight="1">
      <c r="A718" s="52" t="s">
        <v>1128</v>
      </c>
      <c r="B718" s="24" t="s">
        <v>438</v>
      </c>
      <c r="C718" s="1">
        <f t="shared" si="173"/>
        <v>4174385</v>
      </c>
      <c r="D718" s="21">
        <f t="shared" si="174"/>
        <v>740185</v>
      </c>
      <c r="E718" s="3">
        <f>350*400.1</f>
        <v>140035</v>
      </c>
      <c r="F718" s="3">
        <f>800*400.1</f>
        <v>320080</v>
      </c>
      <c r="G718" s="3">
        <f>300*400.1</f>
        <v>120030</v>
      </c>
      <c r="H718" s="3">
        <f>500*0</f>
        <v>0</v>
      </c>
      <c r="I718" s="3">
        <f>400*400.1</f>
        <v>160040</v>
      </c>
      <c r="J718" s="3">
        <f>350*0</f>
        <v>0</v>
      </c>
      <c r="K718" s="40">
        <v>0</v>
      </c>
      <c r="L718" s="21">
        <v>0</v>
      </c>
      <c r="M718" s="21">
        <v>403</v>
      </c>
      <c r="N718" s="21">
        <v>2135900</v>
      </c>
      <c r="O718" s="21">
        <v>0</v>
      </c>
      <c r="P718" s="21">
        <v>0</v>
      </c>
      <c r="Q718" s="21">
        <v>460</v>
      </c>
      <c r="R718" s="21">
        <v>1198300</v>
      </c>
      <c r="S718" s="21">
        <v>0</v>
      </c>
      <c r="T718" s="3">
        <v>0</v>
      </c>
      <c r="U718" s="21">
        <v>100000</v>
      </c>
    </row>
    <row r="719" spans="1:22" ht="21.95" customHeight="1">
      <c r="A719" s="52" t="s">
        <v>1129</v>
      </c>
      <c r="B719" s="24" t="s">
        <v>454</v>
      </c>
      <c r="C719" s="1">
        <f t="shared" si="173"/>
        <v>2336600</v>
      </c>
      <c r="D719" s="21">
        <f t="shared" si="174"/>
        <v>0</v>
      </c>
      <c r="E719" s="21">
        <v>0</v>
      </c>
      <c r="F719" s="21">
        <v>0</v>
      </c>
      <c r="G719" s="21">
        <v>0</v>
      </c>
      <c r="H719" s="21">
        <v>0</v>
      </c>
      <c r="I719" s="21">
        <v>0</v>
      </c>
      <c r="J719" s="21">
        <v>0</v>
      </c>
      <c r="K719" s="40">
        <v>0</v>
      </c>
      <c r="L719" s="21">
        <v>0</v>
      </c>
      <c r="M719" s="21">
        <v>422</v>
      </c>
      <c r="N719" s="21">
        <v>2236600</v>
      </c>
      <c r="O719" s="21">
        <v>0</v>
      </c>
      <c r="P719" s="21">
        <v>0</v>
      </c>
      <c r="Q719" s="21">
        <v>0</v>
      </c>
      <c r="R719" s="21">
        <v>0</v>
      </c>
      <c r="S719" s="21">
        <v>0</v>
      </c>
      <c r="T719" s="3">
        <v>0</v>
      </c>
      <c r="U719" s="21">
        <v>100000</v>
      </c>
    </row>
    <row r="720" spans="1:22" ht="21.95" customHeight="1">
      <c r="A720" s="52" t="s">
        <v>1130</v>
      </c>
      <c r="B720" s="24" t="s">
        <v>592</v>
      </c>
      <c r="C720" s="1">
        <f t="shared" si="173"/>
        <v>2606200</v>
      </c>
      <c r="D720" s="21">
        <f t="shared" si="174"/>
        <v>0</v>
      </c>
      <c r="E720" s="21">
        <v>0</v>
      </c>
      <c r="F720" s="21">
        <v>0</v>
      </c>
      <c r="G720" s="21">
        <v>0</v>
      </c>
      <c r="H720" s="21">
        <v>0</v>
      </c>
      <c r="I720" s="21">
        <v>0</v>
      </c>
      <c r="J720" s="21">
        <v>0</v>
      </c>
      <c r="K720" s="5">
        <v>0</v>
      </c>
      <c r="L720" s="3">
        <v>0</v>
      </c>
      <c r="M720" s="3">
        <v>454</v>
      </c>
      <c r="N720" s="3">
        <v>2406200</v>
      </c>
      <c r="O720" s="3">
        <v>0</v>
      </c>
      <c r="P720" s="3">
        <v>0</v>
      </c>
      <c r="Q720" s="3">
        <v>0</v>
      </c>
      <c r="R720" s="3">
        <v>0</v>
      </c>
      <c r="S720" s="3">
        <v>0</v>
      </c>
      <c r="T720" s="3">
        <v>0</v>
      </c>
      <c r="U720" s="3">
        <v>200000</v>
      </c>
      <c r="V720" s="13"/>
    </row>
    <row r="721" spans="1:22" ht="21.95" customHeight="1">
      <c r="A721" s="52" t="s">
        <v>1131</v>
      </c>
      <c r="B721" s="24" t="s">
        <v>593</v>
      </c>
      <c r="C721" s="1">
        <f t="shared" si="173"/>
        <v>2606200</v>
      </c>
      <c r="D721" s="21">
        <f t="shared" si="174"/>
        <v>0</v>
      </c>
      <c r="E721" s="21">
        <v>0</v>
      </c>
      <c r="F721" s="21">
        <v>0</v>
      </c>
      <c r="G721" s="21">
        <v>0</v>
      </c>
      <c r="H721" s="21">
        <v>0</v>
      </c>
      <c r="I721" s="21">
        <v>0</v>
      </c>
      <c r="J721" s="21">
        <v>0</v>
      </c>
      <c r="K721" s="5">
        <v>0</v>
      </c>
      <c r="L721" s="3">
        <v>0</v>
      </c>
      <c r="M721" s="3">
        <v>454</v>
      </c>
      <c r="N721" s="3">
        <v>2406200</v>
      </c>
      <c r="O721" s="3">
        <v>0</v>
      </c>
      <c r="P721" s="3">
        <v>0</v>
      </c>
      <c r="Q721" s="3">
        <v>0</v>
      </c>
      <c r="R721" s="3">
        <v>0</v>
      </c>
      <c r="S721" s="3">
        <v>0</v>
      </c>
      <c r="T721" s="3">
        <v>0</v>
      </c>
      <c r="U721" s="3">
        <v>200000</v>
      </c>
      <c r="V721" s="13"/>
    </row>
    <row r="722" spans="1:22" ht="45" customHeight="1">
      <c r="A722" s="55" t="s">
        <v>289</v>
      </c>
      <c r="B722" s="55"/>
      <c r="C722" s="1">
        <f t="shared" si="173"/>
        <v>11801289</v>
      </c>
      <c r="D722" s="1">
        <f t="shared" ref="D722:U722" si="175">SUM(D723:D725)</f>
        <v>1992375</v>
      </c>
      <c r="E722" s="1">
        <f t="shared" si="175"/>
        <v>357910</v>
      </c>
      <c r="F722" s="1">
        <f t="shared" si="175"/>
        <v>637840</v>
      </c>
      <c r="G722" s="1">
        <f t="shared" si="175"/>
        <v>279055</v>
      </c>
      <c r="H722" s="1">
        <f t="shared" si="175"/>
        <v>398650</v>
      </c>
      <c r="I722" s="1">
        <f t="shared" si="175"/>
        <v>318920</v>
      </c>
      <c r="J722" s="1">
        <f t="shared" si="175"/>
        <v>0</v>
      </c>
      <c r="K722" s="42">
        <f t="shared" si="175"/>
        <v>0</v>
      </c>
      <c r="L722" s="1">
        <f t="shared" si="175"/>
        <v>0</v>
      </c>
      <c r="M722" s="1">
        <f t="shared" si="175"/>
        <v>1011.0999999999999</v>
      </c>
      <c r="N722" s="1">
        <f t="shared" si="175"/>
        <v>5358838</v>
      </c>
      <c r="O722" s="1">
        <f t="shared" si="175"/>
        <v>220</v>
      </c>
      <c r="P722" s="1">
        <f t="shared" si="175"/>
        <v>264000</v>
      </c>
      <c r="Q722" s="1">
        <f t="shared" si="175"/>
        <v>1415</v>
      </c>
      <c r="R722" s="1">
        <f t="shared" si="175"/>
        <v>3686076</v>
      </c>
      <c r="S722" s="1">
        <f t="shared" si="175"/>
        <v>0</v>
      </c>
      <c r="T722" s="1">
        <f t="shared" si="175"/>
        <v>0</v>
      </c>
      <c r="U722" s="1">
        <f t="shared" si="175"/>
        <v>500000</v>
      </c>
    </row>
    <row r="723" spans="1:22" ht="21.95" customHeight="1">
      <c r="A723" s="19" t="s">
        <v>1132</v>
      </c>
      <c r="B723" s="24" t="s">
        <v>290</v>
      </c>
      <c r="C723" s="1">
        <f t="shared" si="173"/>
        <v>4624720</v>
      </c>
      <c r="D723" s="21">
        <f t="shared" ref="D723:D725" si="176">SUM(E723:J723)</f>
        <v>984240</v>
      </c>
      <c r="E723" s="21">
        <f>350*410.1</f>
        <v>143535</v>
      </c>
      <c r="F723" s="21">
        <f>800*410.1</f>
        <v>328080</v>
      </c>
      <c r="G723" s="21">
        <f>350*410.1</f>
        <v>143535</v>
      </c>
      <c r="H723" s="21">
        <f>500*410.1</f>
        <v>205050</v>
      </c>
      <c r="I723" s="21">
        <f>400*410.1</f>
        <v>164040</v>
      </c>
      <c r="J723" s="21">
        <v>0</v>
      </c>
      <c r="K723" s="40">
        <v>0</v>
      </c>
      <c r="L723" s="21">
        <v>0</v>
      </c>
      <c r="M723" s="21">
        <v>386.4</v>
      </c>
      <c r="N723" s="21">
        <v>2047920</v>
      </c>
      <c r="O723" s="3">
        <v>110</v>
      </c>
      <c r="P723" s="3">
        <v>132000</v>
      </c>
      <c r="Q723" s="21">
        <v>483.9</v>
      </c>
      <c r="R723" s="21">
        <v>1260560</v>
      </c>
      <c r="S723" s="21">
        <v>0</v>
      </c>
      <c r="T723" s="21">
        <v>0</v>
      </c>
      <c r="U723" s="21">
        <v>200000</v>
      </c>
    </row>
    <row r="724" spans="1:22" ht="21.95" customHeight="1">
      <c r="A724" s="19" t="s">
        <v>1133</v>
      </c>
      <c r="B724" s="24" t="s">
        <v>291</v>
      </c>
      <c r="C724" s="1">
        <f t="shared" si="173"/>
        <v>4427487</v>
      </c>
      <c r="D724" s="21">
        <f t="shared" si="176"/>
        <v>929280</v>
      </c>
      <c r="E724" s="21">
        <f>350*387.2</f>
        <v>135520</v>
      </c>
      <c r="F724" s="21">
        <f>800*387.2</f>
        <v>309760</v>
      </c>
      <c r="G724" s="21">
        <f>350*387.2</f>
        <v>135520</v>
      </c>
      <c r="H724" s="21">
        <f>500*387.2</f>
        <v>193600</v>
      </c>
      <c r="I724" s="21">
        <f>400*387.2</f>
        <v>154880</v>
      </c>
      <c r="J724" s="21">
        <v>0</v>
      </c>
      <c r="K724" s="40">
        <v>0</v>
      </c>
      <c r="L724" s="21">
        <v>0</v>
      </c>
      <c r="M724" s="21">
        <v>368.5</v>
      </c>
      <c r="N724" s="21">
        <v>1953058</v>
      </c>
      <c r="O724" s="3">
        <v>110</v>
      </c>
      <c r="P724" s="3">
        <v>132000</v>
      </c>
      <c r="Q724" s="21">
        <v>465.7</v>
      </c>
      <c r="R724" s="21">
        <v>1213149</v>
      </c>
      <c r="S724" s="21">
        <v>0</v>
      </c>
      <c r="T724" s="21">
        <v>0</v>
      </c>
      <c r="U724" s="21">
        <v>200000</v>
      </c>
    </row>
    <row r="725" spans="1:22" ht="21.95" customHeight="1">
      <c r="A725" s="19" t="s">
        <v>1134</v>
      </c>
      <c r="B725" s="24" t="s">
        <v>316</v>
      </c>
      <c r="C725" s="1">
        <f t="shared" si="173"/>
        <v>2749082</v>
      </c>
      <c r="D725" s="21">
        <f t="shared" si="176"/>
        <v>78855</v>
      </c>
      <c r="E725" s="21">
        <f>350*225.3</f>
        <v>78855</v>
      </c>
      <c r="F725" s="21">
        <f>800*0</f>
        <v>0</v>
      </c>
      <c r="G725" s="21">
        <f>350*0</f>
        <v>0</v>
      </c>
      <c r="H725" s="21">
        <f>500*0</f>
        <v>0</v>
      </c>
      <c r="I725" s="21">
        <f>400*0</f>
        <v>0</v>
      </c>
      <c r="J725" s="21">
        <v>0</v>
      </c>
      <c r="K725" s="40">
        <v>0</v>
      </c>
      <c r="L725" s="21">
        <v>0</v>
      </c>
      <c r="M725" s="21">
        <v>256.2</v>
      </c>
      <c r="N725" s="21">
        <f>M725*5300</f>
        <v>1357860</v>
      </c>
      <c r="O725" s="21">
        <v>0</v>
      </c>
      <c r="P725" s="21">
        <v>0</v>
      </c>
      <c r="Q725" s="21">
        <v>465.4</v>
      </c>
      <c r="R725" s="21">
        <f>Q725*2605</f>
        <v>1212367</v>
      </c>
      <c r="S725" s="21">
        <v>0</v>
      </c>
      <c r="T725" s="21">
        <v>0</v>
      </c>
      <c r="U725" s="21">
        <v>100000</v>
      </c>
    </row>
    <row r="726" spans="1:22" ht="45" customHeight="1">
      <c r="A726" s="55" t="s">
        <v>1931</v>
      </c>
      <c r="B726" s="55"/>
      <c r="C726" s="1">
        <f t="shared" si="173"/>
        <v>7615679</v>
      </c>
      <c r="D726" s="1">
        <f t="shared" ref="D726:U726" si="177">SUM(D727)</f>
        <v>926630</v>
      </c>
      <c r="E726" s="1">
        <f t="shared" si="177"/>
        <v>170695</v>
      </c>
      <c r="F726" s="1">
        <f t="shared" si="177"/>
        <v>390160</v>
      </c>
      <c r="G726" s="1">
        <f t="shared" si="177"/>
        <v>170695</v>
      </c>
      <c r="H726" s="1">
        <f t="shared" si="177"/>
        <v>0</v>
      </c>
      <c r="I726" s="1">
        <f t="shared" si="177"/>
        <v>195080</v>
      </c>
      <c r="J726" s="1">
        <f t="shared" si="177"/>
        <v>0</v>
      </c>
      <c r="K726" s="42">
        <f t="shared" si="177"/>
        <v>0</v>
      </c>
      <c r="L726" s="1">
        <f t="shared" si="177"/>
        <v>0</v>
      </c>
      <c r="M726" s="1">
        <f t="shared" si="177"/>
        <v>321.5</v>
      </c>
      <c r="N726" s="1">
        <f t="shared" si="177"/>
        <v>1185049</v>
      </c>
      <c r="O726" s="1">
        <f t="shared" si="177"/>
        <v>0</v>
      </c>
      <c r="P726" s="1">
        <f t="shared" si="177"/>
        <v>0</v>
      </c>
      <c r="Q726" s="1">
        <f t="shared" si="177"/>
        <v>1768</v>
      </c>
      <c r="R726" s="1">
        <f t="shared" si="177"/>
        <v>5304000</v>
      </c>
      <c r="S726" s="1">
        <f t="shared" si="177"/>
        <v>0</v>
      </c>
      <c r="T726" s="1">
        <f t="shared" si="177"/>
        <v>0</v>
      </c>
      <c r="U726" s="1">
        <f t="shared" si="177"/>
        <v>200000</v>
      </c>
    </row>
    <row r="727" spans="1:22" ht="21.95" customHeight="1">
      <c r="A727" s="19" t="s">
        <v>1135</v>
      </c>
      <c r="B727" s="24" t="s">
        <v>1932</v>
      </c>
      <c r="C727" s="1">
        <f t="shared" si="173"/>
        <v>7615679</v>
      </c>
      <c r="D727" s="21">
        <f t="shared" ref="D727" si="178">SUM(E727:J727)</f>
        <v>926630</v>
      </c>
      <c r="E727" s="21">
        <f>350*487.7</f>
        <v>170695</v>
      </c>
      <c r="F727" s="21">
        <f>800*487.7</f>
        <v>390160</v>
      </c>
      <c r="G727" s="21">
        <f>350*487.7</f>
        <v>170695</v>
      </c>
      <c r="H727" s="21">
        <v>0</v>
      </c>
      <c r="I727" s="21">
        <f>400*487.7</f>
        <v>195080</v>
      </c>
      <c r="J727" s="21">
        <v>0</v>
      </c>
      <c r="K727" s="40">
        <v>0</v>
      </c>
      <c r="L727" s="21">
        <v>0</v>
      </c>
      <c r="M727" s="21">
        <v>321.5</v>
      </c>
      <c r="N727" s="21">
        <f>M727*3686</f>
        <v>1185049</v>
      </c>
      <c r="O727" s="3">
        <v>0</v>
      </c>
      <c r="P727" s="3">
        <v>0</v>
      </c>
      <c r="Q727" s="21">
        <v>1768</v>
      </c>
      <c r="R727" s="21">
        <f>Q727*3000</f>
        <v>5304000</v>
      </c>
      <c r="S727" s="21">
        <v>0</v>
      </c>
      <c r="T727" s="21">
        <v>0</v>
      </c>
      <c r="U727" s="21">
        <v>200000</v>
      </c>
    </row>
    <row r="728" spans="1:22" ht="45" customHeight="1">
      <c r="A728" s="55" t="s">
        <v>295</v>
      </c>
      <c r="B728" s="55"/>
      <c r="C728" s="1">
        <f t="shared" si="173"/>
        <v>7096100</v>
      </c>
      <c r="D728" s="1">
        <f t="shared" ref="D728:U728" si="179">SUM(D729:D730)</f>
        <v>1694400</v>
      </c>
      <c r="E728" s="1">
        <f t="shared" si="179"/>
        <v>247100</v>
      </c>
      <c r="F728" s="1">
        <f t="shared" si="179"/>
        <v>564800</v>
      </c>
      <c r="G728" s="1">
        <f t="shared" si="179"/>
        <v>247100</v>
      </c>
      <c r="H728" s="1">
        <f t="shared" si="179"/>
        <v>353000</v>
      </c>
      <c r="I728" s="1">
        <f t="shared" si="179"/>
        <v>282400</v>
      </c>
      <c r="J728" s="1">
        <f t="shared" si="179"/>
        <v>0</v>
      </c>
      <c r="K728" s="42">
        <f t="shared" si="179"/>
        <v>0</v>
      </c>
      <c r="L728" s="1">
        <f t="shared" si="179"/>
        <v>0</v>
      </c>
      <c r="M728" s="1">
        <f t="shared" si="179"/>
        <v>580</v>
      </c>
      <c r="N728" s="1">
        <f t="shared" si="179"/>
        <v>3074000</v>
      </c>
      <c r="O728" s="1">
        <f t="shared" si="179"/>
        <v>0</v>
      </c>
      <c r="P728" s="1">
        <f t="shared" si="179"/>
        <v>0</v>
      </c>
      <c r="Q728" s="1">
        <f t="shared" si="179"/>
        <v>740</v>
      </c>
      <c r="R728" s="1">
        <f t="shared" si="179"/>
        <v>1927700</v>
      </c>
      <c r="S728" s="1">
        <f t="shared" si="179"/>
        <v>0</v>
      </c>
      <c r="T728" s="1">
        <f t="shared" si="179"/>
        <v>0</v>
      </c>
      <c r="U728" s="1">
        <f t="shared" si="179"/>
        <v>400000</v>
      </c>
    </row>
    <row r="729" spans="1:22" ht="21.95" customHeight="1">
      <c r="A729" s="19" t="s">
        <v>1136</v>
      </c>
      <c r="B729" s="24" t="s">
        <v>298</v>
      </c>
      <c r="C729" s="1">
        <f t="shared" si="173"/>
        <v>3418450</v>
      </c>
      <c r="D729" s="21">
        <f t="shared" ref="D729:D730" si="180">SUM(E729:J729)</f>
        <v>717600</v>
      </c>
      <c r="E729" s="21">
        <f>350*299</f>
        <v>104650</v>
      </c>
      <c r="F729" s="21">
        <f>800*299</f>
        <v>239200</v>
      </c>
      <c r="G729" s="21">
        <f>350*299</f>
        <v>104650</v>
      </c>
      <c r="H729" s="21">
        <f>500*299</f>
        <v>149500</v>
      </c>
      <c r="I729" s="21">
        <f>400*299</f>
        <v>119600</v>
      </c>
      <c r="J729" s="21">
        <v>0</v>
      </c>
      <c r="K729" s="40">
        <v>0</v>
      </c>
      <c r="L729" s="21">
        <v>0</v>
      </c>
      <c r="M729" s="21">
        <v>290</v>
      </c>
      <c r="N729" s="21">
        <v>1537000</v>
      </c>
      <c r="O729" s="21">
        <v>0</v>
      </c>
      <c r="P729" s="21">
        <v>0</v>
      </c>
      <c r="Q729" s="21">
        <v>370</v>
      </c>
      <c r="R729" s="21">
        <v>963850</v>
      </c>
      <c r="S729" s="21">
        <v>0</v>
      </c>
      <c r="T729" s="21">
        <v>0</v>
      </c>
      <c r="U729" s="21">
        <v>200000</v>
      </c>
    </row>
    <row r="730" spans="1:22" ht="21.95" customHeight="1">
      <c r="A730" s="19" t="s">
        <v>1137</v>
      </c>
      <c r="B730" s="24" t="s">
        <v>299</v>
      </c>
      <c r="C730" s="1">
        <f t="shared" si="173"/>
        <v>3677650</v>
      </c>
      <c r="D730" s="21">
        <f t="shared" si="180"/>
        <v>976800</v>
      </c>
      <c r="E730" s="21">
        <f>350*407</f>
        <v>142450</v>
      </c>
      <c r="F730" s="21">
        <f>800*407</f>
        <v>325600</v>
      </c>
      <c r="G730" s="21">
        <f>350*407</f>
        <v>142450</v>
      </c>
      <c r="H730" s="21">
        <f>500*407</f>
        <v>203500</v>
      </c>
      <c r="I730" s="21">
        <f>400*407</f>
        <v>162800</v>
      </c>
      <c r="J730" s="21">
        <v>0</v>
      </c>
      <c r="K730" s="40">
        <v>0</v>
      </c>
      <c r="L730" s="21">
        <v>0</v>
      </c>
      <c r="M730" s="21">
        <v>290</v>
      </c>
      <c r="N730" s="21">
        <v>1537000</v>
      </c>
      <c r="O730" s="21">
        <v>0</v>
      </c>
      <c r="P730" s="21">
        <v>0</v>
      </c>
      <c r="Q730" s="21">
        <v>370</v>
      </c>
      <c r="R730" s="21">
        <v>963850</v>
      </c>
      <c r="S730" s="21">
        <v>0</v>
      </c>
      <c r="T730" s="21">
        <v>0</v>
      </c>
      <c r="U730" s="21">
        <v>200000</v>
      </c>
    </row>
    <row r="731" spans="1:22" ht="45" customHeight="1">
      <c r="A731" s="55" t="s">
        <v>300</v>
      </c>
      <c r="B731" s="55"/>
      <c r="C731" s="1">
        <f t="shared" si="173"/>
        <v>30390445</v>
      </c>
      <c r="D731" s="1">
        <f t="shared" ref="D731:U731" si="181">SUM(D732:D740)</f>
        <v>3102890</v>
      </c>
      <c r="E731" s="1">
        <f t="shared" si="181"/>
        <v>571585</v>
      </c>
      <c r="F731" s="1">
        <f t="shared" si="181"/>
        <v>1306480</v>
      </c>
      <c r="G731" s="1">
        <f t="shared" si="181"/>
        <v>571585</v>
      </c>
      <c r="H731" s="1">
        <f t="shared" si="181"/>
        <v>0</v>
      </c>
      <c r="I731" s="1">
        <f t="shared" si="181"/>
        <v>653240</v>
      </c>
      <c r="J731" s="1">
        <f t="shared" si="181"/>
        <v>0</v>
      </c>
      <c r="K731" s="42">
        <f t="shared" si="181"/>
        <v>0</v>
      </c>
      <c r="L731" s="1">
        <f t="shared" si="181"/>
        <v>0</v>
      </c>
      <c r="M731" s="1">
        <f t="shared" si="181"/>
        <v>2838.1</v>
      </c>
      <c r="N731" s="1">
        <f t="shared" si="181"/>
        <v>15041930</v>
      </c>
      <c r="O731" s="1">
        <f t="shared" si="181"/>
        <v>0</v>
      </c>
      <c r="P731" s="1">
        <f t="shared" si="181"/>
        <v>0</v>
      </c>
      <c r="Q731" s="1">
        <f t="shared" si="181"/>
        <v>4125</v>
      </c>
      <c r="R731" s="1">
        <f t="shared" si="181"/>
        <v>10745625</v>
      </c>
      <c r="S731" s="1">
        <f t="shared" si="181"/>
        <v>0</v>
      </c>
      <c r="T731" s="1">
        <f t="shared" si="181"/>
        <v>0</v>
      </c>
      <c r="U731" s="1">
        <f t="shared" si="181"/>
        <v>1500000</v>
      </c>
    </row>
    <row r="732" spans="1:22" ht="21.95" customHeight="1">
      <c r="A732" s="19" t="s">
        <v>1138</v>
      </c>
      <c r="B732" s="24" t="s">
        <v>301</v>
      </c>
      <c r="C732" s="1">
        <f t="shared" si="173"/>
        <v>1911900</v>
      </c>
      <c r="D732" s="21">
        <f t="shared" ref="D732:D740" si="182">SUM(E732:J732)</f>
        <v>0</v>
      </c>
      <c r="E732" s="21">
        <v>0</v>
      </c>
      <c r="F732" s="21">
        <v>0</v>
      </c>
      <c r="G732" s="21">
        <v>0</v>
      </c>
      <c r="H732" s="21">
        <v>0</v>
      </c>
      <c r="I732" s="21">
        <v>0</v>
      </c>
      <c r="J732" s="21">
        <v>0</v>
      </c>
      <c r="K732" s="40">
        <v>0</v>
      </c>
      <c r="L732" s="21">
        <v>0</v>
      </c>
      <c r="M732" s="21">
        <v>323</v>
      </c>
      <c r="N732" s="21">
        <v>1711900</v>
      </c>
      <c r="O732" s="21">
        <v>0</v>
      </c>
      <c r="P732" s="21">
        <v>0</v>
      </c>
      <c r="Q732" s="21">
        <v>0</v>
      </c>
      <c r="R732" s="21">
        <v>0</v>
      </c>
      <c r="S732" s="21">
        <v>0</v>
      </c>
      <c r="T732" s="21">
        <v>0</v>
      </c>
      <c r="U732" s="21">
        <v>200000</v>
      </c>
    </row>
    <row r="733" spans="1:22" ht="21.95" customHeight="1">
      <c r="A733" s="19" t="s">
        <v>1139</v>
      </c>
      <c r="B733" s="24" t="s">
        <v>302</v>
      </c>
      <c r="C733" s="1">
        <f t="shared" si="173"/>
        <v>1896000</v>
      </c>
      <c r="D733" s="21">
        <f t="shared" si="182"/>
        <v>0</v>
      </c>
      <c r="E733" s="21">
        <v>0</v>
      </c>
      <c r="F733" s="21">
        <v>0</v>
      </c>
      <c r="G733" s="21">
        <v>0</v>
      </c>
      <c r="H733" s="21">
        <v>0</v>
      </c>
      <c r="I733" s="21">
        <v>0</v>
      </c>
      <c r="J733" s="21">
        <v>0</v>
      </c>
      <c r="K733" s="40">
        <v>0</v>
      </c>
      <c r="L733" s="21">
        <v>0</v>
      </c>
      <c r="M733" s="21">
        <v>320</v>
      </c>
      <c r="N733" s="21">
        <v>1696000</v>
      </c>
      <c r="O733" s="21">
        <v>0</v>
      </c>
      <c r="P733" s="21">
        <v>0</v>
      </c>
      <c r="Q733" s="21">
        <v>0</v>
      </c>
      <c r="R733" s="21">
        <v>0</v>
      </c>
      <c r="S733" s="21">
        <v>0</v>
      </c>
      <c r="T733" s="21">
        <v>0</v>
      </c>
      <c r="U733" s="21">
        <v>200000</v>
      </c>
    </row>
    <row r="734" spans="1:22" ht="21.95" customHeight="1">
      <c r="A734" s="19" t="s">
        <v>1140</v>
      </c>
      <c r="B734" s="24" t="s">
        <v>305</v>
      </c>
      <c r="C734" s="1">
        <f t="shared" si="173"/>
        <v>4508900</v>
      </c>
      <c r="D734" s="21">
        <f t="shared" si="182"/>
        <v>0</v>
      </c>
      <c r="E734" s="21">
        <v>0</v>
      </c>
      <c r="F734" s="21">
        <v>0</v>
      </c>
      <c r="G734" s="21">
        <v>0</v>
      </c>
      <c r="H734" s="21">
        <v>0</v>
      </c>
      <c r="I734" s="21">
        <v>0</v>
      </c>
      <c r="J734" s="21">
        <v>0</v>
      </c>
      <c r="K734" s="40">
        <v>0</v>
      </c>
      <c r="L734" s="21">
        <v>0</v>
      </c>
      <c r="M734" s="21">
        <v>419</v>
      </c>
      <c r="N734" s="21">
        <f>M734*5300</f>
        <v>2220700</v>
      </c>
      <c r="O734" s="21">
        <v>0</v>
      </c>
      <c r="P734" s="21">
        <v>0</v>
      </c>
      <c r="Q734" s="21">
        <v>840</v>
      </c>
      <c r="R734" s="21">
        <v>2188200</v>
      </c>
      <c r="S734" s="21">
        <v>0</v>
      </c>
      <c r="T734" s="21">
        <v>0</v>
      </c>
      <c r="U734" s="21">
        <v>100000</v>
      </c>
    </row>
    <row r="735" spans="1:22" ht="21.95" customHeight="1">
      <c r="A735" s="19" t="s">
        <v>1141</v>
      </c>
      <c r="B735" s="24" t="s">
        <v>306</v>
      </c>
      <c r="C735" s="1">
        <f t="shared" si="173"/>
        <v>4551300</v>
      </c>
      <c r="D735" s="21">
        <f t="shared" si="182"/>
        <v>0</v>
      </c>
      <c r="E735" s="21">
        <v>0</v>
      </c>
      <c r="F735" s="21">
        <v>0</v>
      </c>
      <c r="G735" s="21">
        <v>0</v>
      </c>
      <c r="H735" s="21">
        <v>0</v>
      </c>
      <c r="I735" s="21">
        <v>0</v>
      </c>
      <c r="J735" s="21">
        <v>0</v>
      </c>
      <c r="K735" s="40">
        <v>0</v>
      </c>
      <c r="L735" s="21">
        <v>0</v>
      </c>
      <c r="M735" s="21">
        <v>427</v>
      </c>
      <c r="N735" s="21">
        <f>M735*5300</f>
        <v>2263100</v>
      </c>
      <c r="O735" s="21">
        <v>0</v>
      </c>
      <c r="P735" s="21">
        <v>0</v>
      </c>
      <c r="Q735" s="21">
        <v>840</v>
      </c>
      <c r="R735" s="21">
        <v>2188200</v>
      </c>
      <c r="S735" s="21">
        <v>0</v>
      </c>
      <c r="T735" s="21">
        <v>0</v>
      </c>
      <c r="U735" s="21">
        <v>100000</v>
      </c>
    </row>
    <row r="736" spans="1:22" ht="21.95" customHeight="1">
      <c r="A736" s="19" t="s">
        <v>1142</v>
      </c>
      <c r="B736" s="24" t="s">
        <v>307</v>
      </c>
      <c r="C736" s="1">
        <f t="shared" si="173"/>
        <v>5696420</v>
      </c>
      <c r="D736" s="21">
        <f t="shared" si="182"/>
        <v>1076919.9999999998</v>
      </c>
      <c r="E736" s="21">
        <f>350*566.8</f>
        <v>198379.99999999997</v>
      </c>
      <c r="F736" s="21">
        <f>800*566.8</f>
        <v>453439.99999999994</v>
      </c>
      <c r="G736" s="21">
        <f>350*566.8</f>
        <v>198379.99999999997</v>
      </c>
      <c r="H736" s="21">
        <f>500*0</f>
        <v>0</v>
      </c>
      <c r="I736" s="21">
        <f>400*566.8</f>
        <v>226719.99999999997</v>
      </c>
      <c r="J736" s="21">
        <v>0</v>
      </c>
      <c r="K736" s="40">
        <v>0</v>
      </c>
      <c r="L736" s="21">
        <v>0</v>
      </c>
      <c r="M736" s="21">
        <v>421</v>
      </c>
      <c r="N736" s="21">
        <v>2231300</v>
      </c>
      <c r="O736" s="21">
        <v>0</v>
      </c>
      <c r="P736" s="21">
        <v>0</v>
      </c>
      <c r="Q736" s="21">
        <v>840</v>
      </c>
      <c r="R736" s="21">
        <v>2188200</v>
      </c>
      <c r="S736" s="21">
        <v>0</v>
      </c>
      <c r="T736" s="21">
        <v>0</v>
      </c>
      <c r="U736" s="21">
        <v>200000</v>
      </c>
    </row>
    <row r="737" spans="1:22" ht="21.95" customHeight="1">
      <c r="A737" s="19" t="s">
        <v>1143</v>
      </c>
      <c r="B737" s="24" t="s">
        <v>308</v>
      </c>
      <c r="C737" s="1">
        <f t="shared" si="173"/>
        <v>2273000</v>
      </c>
      <c r="D737" s="21">
        <f t="shared" si="182"/>
        <v>0</v>
      </c>
      <c r="E737" s="21">
        <v>0</v>
      </c>
      <c r="F737" s="21">
        <v>0</v>
      </c>
      <c r="G737" s="21">
        <v>0</v>
      </c>
      <c r="H737" s="21">
        <v>0</v>
      </c>
      <c r="I737" s="21">
        <v>0</v>
      </c>
      <c r="J737" s="21">
        <v>0</v>
      </c>
      <c r="K737" s="40">
        <v>0</v>
      </c>
      <c r="L737" s="21">
        <v>0</v>
      </c>
      <c r="M737" s="21">
        <v>410</v>
      </c>
      <c r="N737" s="21">
        <f>M737*5300</f>
        <v>2173000</v>
      </c>
      <c r="O737" s="21">
        <v>0</v>
      </c>
      <c r="P737" s="21">
        <v>0</v>
      </c>
      <c r="Q737" s="21">
        <v>0</v>
      </c>
      <c r="R737" s="21">
        <v>0</v>
      </c>
      <c r="S737" s="21">
        <v>0</v>
      </c>
      <c r="T737" s="21">
        <v>0</v>
      </c>
      <c r="U737" s="21">
        <v>100000</v>
      </c>
    </row>
    <row r="738" spans="1:22" ht="21.95" customHeight="1">
      <c r="A738" s="19" t="s">
        <v>1144</v>
      </c>
      <c r="B738" s="24" t="s">
        <v>310</v>
      </c>
      <c r="C738" s="1">
        <f t="shared" si="173"/>
        <v>3298980</v>
      </c>
      <c r="D738" s="21">
        <f t="shared" si="182"/>
        <v>1014980.0000000001</v>
      </c>
      <c r="E738" s="21">
        <f>350*534.2</f>
        <v>186970.00000000003</v>
      </c>
      <c r="F738" s="21">
        <f>800*534.2</f>
        <v>427360.00000000006</v>
      </c>
      <c r="G738" s="21">
        <f>350*534.2</f>
        <v>186970.00000000003</v>
      </c>
      <c r="H738" s="21">
        <f>500*0</f>
        <v>0</v>
      </c>
      <c r="I738" s="21">
        <f>400*534.2</f>
        <v>213680.00000000003</v>
      </c>
      <c r="J738" s="21">
        <v>0</v>
      </c>
      <c r="K738" s="40">
        <v>0</v>
      </c>
      <c r="L738" s="21">
        <v>0</v>
      </c>
      <c r="M738" s="21">
        <v>0</v>
      </c>
      <c r="N738" s="21">
        <v>0</v>
      </c>
      <c r="O738" s="21">
        <v>0</v>
      </c>
      <c r="P738" s="21">
        <v>0</v>
      </c>
      <c r="Q738" s="21">
        <v>800</v>
      </c>
      <c r="R738" s="21">
        <v>2084000</v>
      </c>
      <c r="S738" s="21">
        <v>0</v>
      </c>
      <c r="T738" s="21">
        <v>0</v>
      </c>
      <c r="U738" s="21">
        <v>200000</v>
      </c>
    </row>
    <row r="739" spans="1:22" ht="21.95" customHeight="1">
      <c r="A739" s="19" t="s">
        <v>1145</v>
      </c>
      <c r="B739" s="24" t="s">
        <v>311</v>
      </c>
      <c r="C739" s="1">
        <f t="shared" si="173"/>
        <v>2945930</v>
      </c>
      <c r="D739" s="21">
        <f t="shared" si="182"/>
        <v>0</v>
      </c>
      <c r="E739" s="21">
        <v>0</v>
      </c>
      <c r="F739" s="21">
        <v>0</v>
      </c>
      <c r="G739" s="21">
        <v>0</v>
      </c>
      <c r="H739" s="21">
        <v>0</v>
      </c>
      <c r="I739" s="21">
        <v>0</v>
      </c>
      <c r="J739" s="21">
        <v>0</v>
      </c>
      <c r="K739" s="40">
        <v>0</v>
      </c>
      <c r="L739" s="21">
        <v>0</v>
      </c>
      <c r="M739" s="21">
        <v>518.1</v>
      </c>
      <c r="N739" s="21">
        <v>2745930</v>
      </c>
      <c r="O739" s="21">
        <v>0</v>
      </c>
      <c r="P739" s="21">
        <v>0</v>
      </c>
      <c r="Q739" s="21">
        <v>0</v>
      </c>
      <c r="R739" s="21">
        <v>0</v>
      </c>
      <c r="S739" s="21">
        <v>0</v>
      </c>
      <c r="T739" s="21">
        <v>0</v>
      </c>
      <c r="U739" s="21">
        <v>200000</v>
      </c>
    </row>
    <row r="740" spans="1:22" ht="21.95" customHeight="1">
      <c r="A740" s="19" t="s">
        <v>1146</v>
      </c>
      <c r="B740" s="24" t="s">
        <v>312</v>
      </c>
      <c r="C740" s="1">
        <f t="shared" si="173"/>
        <v>3308015</v>
      </c>
      <c r="D740" s="21">
        <f t="shared" si="182"/>
        <v>1010990</v>
      </c>
      <c r="E740" s="21">
        <f>350*532.1</f>
        <v>186235</v>
      </c>
      <c r="F740" s="21">
        <f>800*532.1</f>
        <v>425680</v>
      </c>
      <c r="G740" s="21">
        <f>350*532.1</f>
        <v>186235</v>
      </c>
      <c r="H740" s="21">
        <f>500*0</f>
        <v>0</v>
      </c>
      <c r="I740" s="21">
        <f>400*532.1</f>
        <v>212840</v>
      </c>
      <c r="J740" s="21">
        <v>0</v>
      </c>
      <c r="K740" s="40">
        <v>0</v>
      </c>
      <c r="L740" s="21">
        <v>0</v>
      </c>
      <c r="M740" s="21">
        <v>0</v>
      </c>
      <c r="N740" s="21">
        <v>0</v>
      </c>
      <c r="O740" s="21">
        <v>0</v>
      </c>
      <c r="P740" s="21">
        <v>0</v>
      </c>
      <c r="Q740" s="21">
        <v>805</v>
      </c>
      <c r="R740" s="21">
        <v>2097025</v>
      </c>
      <c r="S740" s="21">
        <v>0</v>
      </c>
      <c r="T740" s="21">
        <v>0</v>
      </c>
      <c r="U740" s="21">
        <v>200000</v>
      </c>
    </row>
    <row r="741" spans="1:22" ht="45" customHeight="1">
      <c r="A741" s="55" t="s">
        <v>318</v>
      </c>
      <c r="B741" s="55"/>
      <c r="C741" s="1">
        <f t="shared" si="173"/>
        <v>3532666</v>
      </c>
      <c r="D741" s="1">
        <f t="shared" ref="D741:U741" si="183">SUM(D742)</f>
        <v>184184</v>
      </c>
      <c r="E741" s="1">
        <f t="shared" si="183"/>
        <v>184184</v>
      </c>
      <c r="F741" s="1">
        <f t="shared" si="183"/>
        <v>0</v>
      </c>
      <c r="G741" s="1">
        <f t="shared" si="183"/>
        <v>0</v>
      </c>
      <c r="H741" s="1">
        <f t="shared" si="183"/>
        <v>0</v>
      </c>
      <c r="I741" s="1">
        <f t="shared" si="183"/>
        <v>0</v>
      </c>
      <c r="J741" s="1">
        <f t="shared" si="183"/>
        <v>0</v>
      </c>
      <c r="K741" s="42">
        <f t="shared" si="183"/>
        <v>0</v>
      </c>
      <c r="L741" s="1">
        <f t="shared" si="183"/>
        <v>0</v>
      </c>
      <c r="M741" s="1">
        <f t="shared" si="183"/>
        <v>355.2</v>
      </c>
      <c r="N741" s="1">
        <f t="shared" si="183"/>
        <v>1882560</v>
      </c>
      <c r="O741" s="1">
        <f t="shared" si="183"/>
        <v>0</v>
      </c>
      <c r="P741" s="1">
        <f t="shared" si="183"/>
        <v>0</v>
      </c>
      <c r="Q741" s="1">
        <f t="shared" si="183"/>
        <v>428.4</v>
      </c>
      <c r="R741" s="1">
        <f t="shared" si="183"/>
        <v>1115982</v>
      </c>
      <c r="S741" s="1">
        <f t="shared" si="183"/>
        <v>149940</v>
      </c>
      <c r="T741" s="1">
        <f t="shared" si="183"/>
        <v>0</v>
      </c>
      <c r="U741" s="1">
        <f t="shared" si="183"/>
        <v>200000</v>
      </c>
    </row>
    <row r="742" spans="1:22" ht="21.95" customHeight="1">
      <c r="A742" s="17" t="s">
        <v>1147</v>
      </c>
      <c r="B742" s="24" t="s">
        <v>322</v>
      </c>
      <c r="C742" s="1">
        <f t="shared" ref="C742:C772" si="184">D742+L742+N742+P742+R742+S742+T742+U742</f>
        <v>3532666</v>
      </c>
      <c r="D742" s="21">
        <f t="shared" ref="D742" si="185">SUM(E742:J742)</f>
        <v>184184</v>
      </c>
      <c r="E742" s="3">
        <f>526.24*350</f>
        <v>184184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5">
        <v>0</v>
      </c>
      <c r="L742" s="3">
        <v>0</v>
      </c>
      <c r="M742" s="3">
        <v>355.2</v>
      </c>
      <c r="N742" s="3">
        <v>1882560</v>
      </c>
      <c r="O742" s="3">
        <v>0</v>
      </c>
      <c r="P742" s="3">
        <v>0</v>
      </c>
      <c r="Q742" s="3">
        <v>428.4</v>
      </c>
      <c r="R742" s="3">
        <v>1115982</v>
      </c>
      <c r="S742" s="3">
        <v>149940</v>
      </c>
      <c r="T742" s="3">
        <v>0</v>
      </c>
      <c r="U742" s="3">
        <v>200000</v>
      </c>
      <c r="V742" s="13"/>
    </row>
    <row r="743" spans="1:22" ht="45" customHeight="1">
      <c r="A743" s="55" t="s">
        <v>323</v>
      </c>
      <c r="B743" s="55"/>
      <c r="C743" s="1">
        <f t="shared" si="184"/>
        <v>9538830</v>
      </c>
      <c r="D743" s="1">
        <f t="shared" ref="D743:U743" si="186">SUM(D744:D746)</f>
        <v>507325</v>
      </c>
      <c r="E743" s="1">
        <f t="shared" si="186"/>
        <v>507325</v>
      </c>
      <c r="F743" s="1">
        <f t="shared" si="186"/>
        <v>0</v>
      </c>
      <c r="G743" s="1">
        <f t="shared" si="186"/>
        <v>0</v>
      </c>
      <c r="H743" s="1">
        <f t="shared" si="186"/>
        <v>0</v>
      </c>
      <c r="I743" s="1">
        <f t="shared" si="186"/>
        <v>0</v>
      </c>
      <c r="J743" s="1">
        <f t="shared" si="186"/>
        <v>0</v>
      </c>
      <c r="K743" s="42">
        <f t="shared" si="186"/>
        <v>0</v>
      </c>
      <c r="L743" s="1">
        <f t="shared" si="186"/>
        <v>0</v>
      </c>
      <c r="M743" s="1">
        <f t="shared" si="186"/>
        <v>900</v>
      </c>
      <c r="N743" s="1">
        <f t="shared" si="186"/>
        <v>4770000</v>
      </c>
      <c r="O743" s="1">
        <f t="shared" si="186"/>
        <v>0</v>
      </c>
      <c r="P743" s="1">
        <f t="shared" si="186"/>
        <v>0</v>
      </c>
      <c r="Q743" s="1">
        <f t="shared" si="186"/>
        <v>1287</v>
      </c>
      <c r="R743" s="1">
        <f t="shared" si="186"/>
        <v>3352635</v>
      </c>
      <c r="S743" s="1">
        <f t="shared" si="186"/>
        <v>408870</v>
      </c>
      <c r="T743" s="1">
        <f t="shared" si="186"/>
        <v>0</v>
      </c>
      <c r="U743" s="1">
        <f t="shared" si="186"/>
        <v>500000</v>
      </c>
    </row>
    <row r="744" spans="1:22" ht="21.95" customHeight="1">
      <c r="A744" s="17" t="s">
        <v>1148</v>
      </c>
      <c r="B744" s="24" t="s">
        <v>324</v>
      </c>
      <c r="C744" s="1">
        <f t="shared" si="184"/>
        <v>3104875</v>
      </c>
      <c r="D744" s="21">
        <f t="shared" ref="D744:D746" si="187">SUM(E744:J744)</f>
        <v>205800</v>
      </c>
      <c r="E744" s="3">
        <f>588*350</f>
        <v>205800</v>
      </c>
      <c r="F744" s="3">
        <v>0</v>
      </c>
      <c r="G744" s="3">
        <v>0</v>
      </c>
      <c r="H744" s="3">
        <v>0</v>
      </c>
      <c r="I744" s="3">
        <v>0</v>
      </c>
      <c r="J744" s="3">
        <v>0</v>
      </c>
      <c r="K744" s="5">
        <v>0</v>
      </c>
      <c r="L744" s="3">
        <v>0</v>
      </c>
      <c r="M744" s="3">
        <v>270</v>
      </c>
      <c r="N744" s="3">
        <v>1431000</v>
      </c>
      <c r="O744" s="3">
        <v>0</v>
      </c>
      <c r="P744" s="3">
        <v>0</v>
      </c>
      <c r="Q744" s="3">
        <v>431</v>
      </c>
      <c r="R744" s="3">
        <v>1122755</v>
      </c>
      <c r="S744" s="3">
        <v>145320</v>
      </c>
      <c r="T744" s="3">
        <v>0</v>
      </c>
      <c r="U744" s="3">
        <v>200000</v>
      </c>
      <c r="V744" s="13"/>
    </row>
    <row r="745" spans="1:22" ht="21.95" customHeight="1">
      <c r="A745" s="17" t="s">
        <v>1149</v>
      </c>
      <c r="B745" s="24" t="s">
        <v>325</v>
      </c>
      <c r="C745" s="1">
        <f t="shared" si="184"/>
        <v>2166030</v>
      </c>
      <c r="D745" s="21">
        <f t="shared" si="187"/>
        <v>107800</v>
      </c>
      <c r="E745" s="3">
        <f>308*350</f>
        <v>107800</v>
      </c>
      <c r="F745" s="3">
        <v>0</v>
      </c>
      <c r="G745" s="3">
        <v>0</v>
      </c>
      <c r="H745" s="3">
        <v>0</v>
      </c>
      <c r="I745" s="3">
        <v>0</v>
      </c>
      <c r="J745" s="3">
        <v>0</v>
      </c>
      <c r="K745" s="5">
        <v>0</v>
      </c>
      <c r="L745" s="3">
        <v>0</v>
      </c>
      <c r="M745" s="3">
        <v>180</v>
      </c>
      <c r="N745" s="3">
        <v>954000</v>
      </c>
      <c r="O745" s="3">
        <v>0</v>
      </c>
      <c r="P745" s="3">
        <v>0</v>
      </c>
      <c r="Q745" s="3">
        <v>306</v>
      </c>
      <c r="R745" s="3">
        <v>797130</v>
      </c>
      <c r="S745" s="3">
        <v>107100</v>
      </c>
      <c r="T745" s="3">
        <v>0</v>
      </c>
      <c r="U745" s="3">
        <v>200000</v>
      </c>
      <c r="V745" s="13"/>
    </row>
    <row r="746" spans="1:22" ht="21.95" customHeight="1">
      <c r="A746" s="17" t="s">
        <v>1150</v>
      </c>
      <c r="B746" s="24" t="s">
        <v>327</v>
      </c>
      <c r="C746" s="1">
        <f t="shared" si="184"/>
        <v>4267925</v>
      </c>
      <c r="D746" s="21">
        <f t="shared" si="187"/>
        <v>193725</v>
      </c>
      <c r="E746" s="21">
        <f>553.5*350</f>
        <v>193725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40">
        <v>0</v>
      </c>
      <c r="L746" s="21">
        <v>0</v>
      </c>
      <c r="M746" s="3">
        <v>450</v>
      </c>
      <c r="N746" s="21">
        <f>M746*5300</f>
        <v>2385000</v>
      </c>
      <c r="O746" s="21">
        <v>0</v>
      </c>
      <c r="P746" s="21">
        <v>0</v>
      </c>
      <c r="Q746" s="21">
        <v>550</v>
      </c>
      <c r="R746" s="21">
        <f>Q746*2605</f>
        <v>1432750</v>
      </c>
      <c r="S746" s="21">
        <v>156450</v>
      </c>
      <c r="T746" s="21">
        <v>0</v>
      </c>
      <c r="U746" s="21">
        <v>100000</v>
      </c>
    </row>
    <row r="747" spans="1:22" ht="45" customHeight="1">
      <c r="A747" s="55" t="s">
        <v>1326</v>
      </c>
      <c r="B747" s="55"/>
      <c r="C747" s="1">
        <f t="shared" si="184"/>
        <v>2512204</v>
      </c>
      <c r="D747" s="1">
        <f t="shared" ref="D747:U747" si="188">SUM(D748)</f>
        <v>402500</v>
      </c>
      <c r="E747" s="1">
        <f t="shared" si="188"/>
        <v>122500</v>
      </c>
      <c r="F747" s="1">
        <f t="shared" si="188"/>
        <v>280000</v>
      </c>
      <c r="G747" s="1">
        <f t="shared" si="188"/>
        <v>0</v>
      </c>
      <c r="H747" s="1">
        <f t="shared" si="188"/>
        <v>0</v>
      </c>
      <c r="I747" s="1">
        <f t="shared" si="188"/>
        <v>0</v>
      </c>
      <c r="J747" s="1">
        <f t="shared" si="188"/>
        <v>0</v>
      </c>
      <c r="K747" s="42">
        <f t="shared" si="188"/>
        <v>0</v>
      </c>
      <c r="L747" s="1">
        <f t="shared" si="188"/>
        <v>0</v>
      </c>
      <c r="M747" s="1">
        <f t="shared" si="188"/>
        <v>240</v>
      </c>
      <c r="N747" s="1">
        <f t="shared" si="188"/>
        <v>1272000</v>
      </c>
      <c r="O747" s="1">
        <f t="shared" si="188"/>
        <v>0</v>
      </c>
      <c r="P747" s="1">
        <f t="shared" si="188"/>
        <v>0</v>
      </c>
      <c r="Q747" s="1">
        <f t="shared" si="188"/>
        <v>244.8</v>
      </c>
      <c r="R747" s="1">
        <f t="shared" si="188"/>
        <v>637704</v>
      </c>
      <c r="S747" s="1">
        <f t="shared" si="188"/>
        <v>0</v>
      </c>
      <c r="T747" s="1">
        <f t="shared" si="188"/>
        <v>0</v>
      </c>
      <c r="U747" s="1">
        <f t="shared" si="188"/>
        <v>200000</v>
      </c>
    </row>
    <row r="748" spans="1:22" ht="21.95" customHeight="1">
      <c r="A748" s="19" t="s">
        <v>1151</v>
      </c>
      <c r="B748" s="24" t="s">
        <v>332</v>
      </c>
      <c r="C748" s="1">
        <f t="shared" si="184"/>
        <v>2512204</v>
      </c>
      <c r="D748" s="21">
        <f t="shared" ref="D748" si="189">SUM(E748:J748)</f>
        <v>402500</v>
      </c>
      <c r="E748" s="21">
        <f>350*350</f>
        <v>122500</v>
      </c>
      <c r="F748" s="21">
        <f>800*350</f>
        <v>280000</v>
      </c>
      <c r="G748" s="21">
        <f>350*0</f>
        <v>0</v>
      </c>
      <c r="H748" s="21">
        <f>500*0</f>
        <v>0</v>
      </c>
      <c r="I748" s="21">
        <f>400*0</f>
        <v>0</v>
      </c>
      <c r="J748" s="21">
        <v>0</v>
      </c>
      <c r="K748" s="40">
        <v>0</v>
      </c>
      <c r="L748" s="21">
        <v>0</v>
      </c>
      <c r="M748" s="21">
        <v>240</v>
      </c>
      <c r="N748" s="21">
        <v>1272000</v>
      </c>
      <c r="O748" s="21">
        <v>0</v>
      </c>
      <c r="P748" s="21">
        <v>0</v>
      </c>
      <c r="Q748" s="21">
        <v>244.8</v>
      </c>
      <c r="R748" s="21">
        <v>637704</v>
      </c>
      <c r="S748" s="21">
        <v>0</v>
      </c>
      <c r="T748" s="21">
        <v>0</v>
      </c>
      <c r="U748" s="21">
        <v>200000</v>
      </c>
    </row>
    <row r="749" spans="1:22" ht="45" customHeight="1">
      <c r="A749" s="55" t="s">
        <v>335</v>
      </c>
      <c r="B749" s="55"/>
      <c r="C749" s="1">
        <f t="shared" si="184"/>
        <v>10069016</v>
      </c>
      <c r="D749" s="1">
        <f t="shared" ref="D749:U749" si="190">SUM(D750:D752)</f>
        <v>1118490</v>
      </c>
      <c r="E749" s="1">
        <f t="shared" si="190"/>
        <v>340410</v>
      </c>
      <c r="F749" s="1">
        <f t="shared" si="190"/>
        <v>778080</v>
      </c>
      <c r="G749" s="1">
        <f t="shared" si="190"/>
        <v>0</v>
      </c>
      <c r="H749" s="1">
        <f t="shared" si="190"/>
        <v>0</v>
      </c>
      <c r="I749" s="1">
        <f t="shared" si="190"/>
        <v>0</v>
      </c>
      <c r="J749" s="1">
        <f t="shared" si="190"/>
        <v>0</v>
      </c>
      <c r="K749" s="42">
        <f t="shared" si="190"/>
        <v>0</v>
      </c>
      <c r="L749" s="1">
        <f t="shared" si="190"/>
        <v>0</v>
      </c>
      <c r="M749" s="1">
        <f t="shared" si="190"/>
        <v>1282.6199999999999</v>
      </c>
      <c r="N749" s="1">
        <f t="shared" si="190"/>
        <v>6797886</v>
      </c>
      <c r="O749" s="1">
        <f t="shared" si="190"/>
        <v>0</v>
      </c>
      <c r="P749" s="1">
        <f t="shared" si="190"/>
        <v>0</v>
      </c>
      <c r="Q749" s="1">
        <f t="shared" si="190"/>
        <v>528</v>
      </c>
      <c r="R749" s="1">
        <f t="shared" si="190"/>
        <v>1375440</v>
      </c>
      <c r="S749" s="1">
        <f t="shared" si="190"/>
        <v>277200</v>
      </c>
      <c r="T749" s="1">
        <f t="shared" si="190"/>
        <v>0</v>
      </c>
      <c r="U749" s="1">
        <f t="shared" si="190"/>
        <v>500000</v>
      </c>
    </row>
    <row r="750" spans="1:22" ht="21.95" customHeight="1">
      <c r="A750" s="19" t="s">
        <v>1152</v>
      </c>
      <c r="B750" s="24" t="s">
        <v>336</v>
      </c>
      <c r="C750" s="1">
        <f t="shared" si="184"/>
        <v>5286223</v>
      </c>
      <c r="D750" s="21">
        <f t="shared" ref="D750:D752" si="191">SUM(E750:J750)</f>
        <v>1118490</v>
      </c>
      <c r="E750" s="21">
        <f>350*972.6</f>
        <v>340410</v>
      </c>
      <c r="F750" s="21">
        <f>800*972.6</f>
        <v>778080</v>
      </c>
      <c r="G750" s="21">
        <f>350*0</f>
        <v>0</v>
      </c>
      <c r="H750" s="21">
        <f>500*0</f>
        <v>0</v>
      </c>
      <c r="I750" s="21">
        <f>400*0</f>
        <v>0</v>
      </c>
      <c r="J750" s="21">
        <v>0</v>
      </c>
      <c r="K750" s="40">
        <v>0</v>
      </c>
      <c r="L750" s="21">
        <v>0</v>
      </c>
      <c r="M750" s="21">
        <v>436.81</v>
      </c>
      <c r="N750" s="21">
        <f>M750*5300</f>
        <v>2315093</v>
      </c>
      <c r="O750" s="21">
        <v>0</v>
      </c>
      <c r="P750" s="21">
        <v>0</v>
      </c>
      <c r="Q750" s="21">
        <v>528</v>
      </c>
      <c r="R750" s="21">
        <v>1375440</v>
      </c>
      <c r="S750" s="21">
        <v>277200</v>
      </c>
      <c r="T750" s="21">
        <v>0</v>
      </c>
      <c r="U750" s="21">
        <v>200000</v>
      </c>
    </row>
    <row r="751" spans="1:22" ht="21.95" customHeight="1">
      <c r="A751" s="19" t="s">
        <v>1153</v>
      </c>
      <c r="B751" s="24" t="s">
        <v>1330</v>
      </c>
      <c r="C751" s="1">
        <f t="shared" si="184"/>
        <v>2515093</v>
      </c>
      <c r="D751" s="21">
        <f t="shared" si="191"/>
        <v>0</v>
      </c>
      <c r="E751" s="21">
        <v>0</v>
      </c>
      <c r="F751" s="21">
        <v>0</v>
      </c>
      <c r="G751" s="21">
        <v>0</v>
      </c>
      <c r="H751" s="21">
        <v>0</v>
      </c>
      <c r="I751" s="21">
        <v>0</v>
      </c>
      <c r="J751" s="21">
        <v>0</v>
      </c>
      <c r="K751" s="40">
        <v>0</v>
      </c>
      <c r="L751" s="21">
        <v>0</v>
      </c>
      <c r="M751" s="21">
        <v>436.81</v>
      </c>
      <c r="N751" s="21">
        <f>M751*5300</f>
        <v>2315093</v>
      </c>
      <c r="O751" s="21">
        <v>0</v>
      </c>
      <c r="P751" s="21">
        <v>0</v>
      </c>
      <c r="Q751" s="21">
        <v>0</v>
      </c>
      <c r="R751" s="21">
        <v>0</v>
      </c>
      <c r="S751" s="21">
        <v>0</v>
      </c>
      <c r="T751" s="21">
        <v>0</v>
      </c>
      <c r="U751" s="21">
        <v>200000</v>
      </c>
    </row>
    <row r="752" spans="1:22" ht="21.95" customHeight="1">
      <c r="A752" s="19" t="s">
        <v>1154</v>
      </c>
      <c r="B752" s="24" t="s">
        <v>337</v>
      </c>
      <c r="C752" s="1">
        <f t="shared" si="184"/>
        <v>2267700</v>
      </c>
      <c r="D752" s="21">
        <f t="shared" si="191"/>
        <v>0</v>
      </c>
      <c r="E752" s="21">
        <v>0</v>
      </c>
      <c r="F752" s="21">
        <v>0</v>
      </c>
      <c r="G752" s="21">
        <v>0</v>
      </c>
      <c r="H752" s="21">
        <v>0</v>
      </c>
      <c r="I752" s="21">
        <v>0</v>
      </c>
      <c r="J752" s="21">
        <v>0</v>
      </c>
      <c r="K752" s="40">
        <v>0</v>
      </c>
      <c r="L752" s="21">
        <v>0</v>
      </c>
      <c r="M752" s="21">
        <v>409</v>
      </c>
      <c r="N752" s="21">
        <f>M752*5300</f>
        <v>2167700</v>
      </c>
      <c r="O752" s="21">
        <v>0</v>
      </c>
      <c r="P752" s="21">
        <v>0</v>
      </c>
      <c r="Q752" s="21">
        <v>0</v>
      </c>
      <c r="R752" s="21">
        <v>0</v>
      </c>
      <c r="S752" s="21">
        <v>0</v>
      </c>
      <c r="T752" s="21">
        <v>0</v>
      </c>
      <c r="U752" s="21">
        <v>100000</v>
      </c>
    </row>
    <row r="753" spans="1:21" ht="45" customHeight="1">
      <c r="A753" s="55" t="s">
        <v>339</v>
      </c>
      <c r="B753" s="55"/>
      <c r="C753" s="1">
        <f t="shared" si="184"/>
        <v>4204600</v>
      </c>
      <c r="D753" s="1">
        <f t="shared" ref="D753:U753" si="192">SUM(D754)</f>
        <v>0</v>
      </c>
      <c r="E753" s="1">
        <f t="shared" si="192"/>
        <v>0</v>
      </c>
      <c r="F753" s="1">
        <f t="shared" si="192"/>
        <v>0</v>
      </c>
      <c r="G753" s="1">
        <f t="shared" si="192"/>
        <v>0</v>
      </c>
      <c r="H753" s="1">
        <f t="shared" si="192"/>
        <v>0</v>
      </c>
      <c r="I753" s="1">
        <f t="shared" si="192"/>
        <v>0</v>
      </c>
      <c r="J753" s="1">
        <f t="shared" si="192"/>
        <v>0</v>
      </c>
      <c r="K753" s="42">
        <f t="shared" si="192"/>
        <v>0</v>
      </c>
      <c r="L753" s="1">
        <f t="shared" si="192"/>
        <v>0</v>
      </c>
      <c r="M753" s="1">
        <f t="shared" si="192"/>
        <v>500</v>
      </c>
      <c r="N753" s="1">
        <f t="shared" si="192"/>
        <v>2650000</v>
      </c>
      <c r="O753" s="1">
        <f t="shared" si="192"/>
        <v>0</v>
      </c>
      <c r="P753" s="1">
        <f t="shared" si="192"/>
        <v>0</v>
      </c>
      <c r="Q753" s="1">
        <f t="shared" si="192"/>
        <v>520</v>
      </c>
      <c r="R753" s="1">
        <f t="shared" si="192"/>
        <v>1354600</v>
      </c>
      <c r="S753" s="1">
        <f t="shared" si="192"/>
        <v>0</v>
      </c>
      <c r="T753" s="1">
        <f t="shared" si="192"/>
        <v>0</v>
      </c>
      <c r="U753" s="1">
        <f t="shared" si="192"/>
        <v>200000</v>
      </c>
    </row>
    <row r="754" spans="1:21" ht="21.95" customHeight="1">
      <c r="A754" s="19" t="s">
        <v>1155</v>
      </c>
      <c r="B754" s="26" t="s">
        <v>340</v>
      </c>
      <c r="C754" s="1">
        <f t="shared" si="184"/>
        <v>4204600</v>
      </c>
      <c r="D754" s="21">
        <f t="shared" ref="D754" si="193">SUM(E754:J754)</f>
        <v>0</v>
      </c>
      <c r="E754" s="21">
        <v>0</v>
      </c>
      <c r="F754" s="21">
        <v>0</v>
      </c>
      <c r="G754" s="21">
        <v>0</v>
      </c>
      <c r="H754" s="21">
        <v>0</v>
      </c>
      <c r="I754" s="21">
        <v>0</v>
      </c>
      <c r="J754" s="21">
        <v>0</v>
      </c>
      <c r="K754" s="40">
        <v>0</v>
      </c>
      <c r="L754" s="21">
        <v>0</v>
      </c>
      <c r="M754" s="21">
        <v>500</v>
      </c>
      <c r="N754" s="21">
        <v>2650000</v>
      </c>
      <c r="O754" s="21">
        <v>0</v>
      </c>
      <c r="P754" s="21">
        <v>0</v>
      </c>
      <c r="Q754" s="21">
        <v>520</v>
      </c>
      <c r="R754" s="21">
        <v>1354600</v>
      </c>
      <c r="S754" s="21">
        <v>0</v>
      </c>
      <c r="T754" s="21">
        <v>0</v>
      </c>
      <c r="U754" s="21">
        <v>200000</v>
      </c>
    </row>
    <row r="755" spans="1:21" ht="45" customHeight="1">
      <c r="A755" s="55" t="s">
        <v>344</v>
      </c>
      <c r="B755" s="55"/>
      <c r="C755" s="1">
        <f t="shared" si="184"/>
        <v>18213310</v>
      </c>
      <c r="D755" s="1">
        <f t="shared" ref="D755:U755" si="194">SUM(D756)</f>
        <v>0</v>
      </c>
      <c r="E755" s="1">
        <f t="shared" si="194"/>
        <v>0</v>
      </c>
      <c r="F755" s="1">
        <f t="shared" si="194"/>
        <v>0</v>
      </c>
      <c r="G755" s="1">
        <f t="shared" si="194"/>
        <v>0</v>
      </c>
      <c r="H755" s="1">
        <f t="shared" si="194"/>
        <v>0</v>
      </c>
      <c r="I755" s="1">
        <f t="shared" si="194"/>
        <v>0</v>
      </c>
      <c r="J755" s="1">
        <f t="shared" si="194"/>
        <v>0</v>
      </c>
      <c r="K755" s="42">
        <f t="shared" si="194"/>
        <v>0</v>
      </c>
      <c r="L755" s="1">
        <f t="shared" si="194"/>
        <v>0</v>
      </c>
      <c r="M755" s="1">
        <f t="shared" si="194"/>
        <v>2110</v>
      </c>
      <c r="N755" s="1">
        <f t="shared" si="194"/>
        <v>11183000</v>
      </c>
      <c r="O755" s="1">
        <f t="shared" si="194"/>
        <v>0</v>
      </c>
      <c r="P755" s="1">
        <f t="shared" si="194"/>
        <v>0</v>
      </c>
      <c r="Q755" s="1">
        <f t="shared" si="194"/>
        <v>2622</v>
      </c>
      <c r="R755" s="1">
        <f t="shared" si="194"/>
        <v>6830310</v>
      </c>
      <c r="S755" s="1">
        <f t="shared" si="194"/>
        <v>0</v>
      </c>
      <c r="T755" s="1">
        <f t="shared" si="194"/>
        <v>0</v>
      </c>
      <c r="U755" s="1">
        <f t="shared" si="194"/>
        <v>200000</v>
      </c>
    </row>
    <row r="756" spans="1:21" ht="21.95" customHeight="1">
      <c r="A756" s="19" t="s">
        <v>1156</v>
      </c>
      <c r="B756" s="24" t="s">
        <v>345</v>
      </c>
      <c r="C756" s="1">
        <f t="shared" si="184"/>
        <v>18213310</v>
      </c>
      <c r="D756" s="21">
        <f t="shared" ref="D756" si="195">SUM(E756:J756)</f>
        <v>0</v>
      </c>
      <c r="E756" s="21">
        <v>0</v>
      </c>
      <c r="F756" s="21">
        <v>0</v>
      </c>
      <c r="G756" s="21">
        <v>0</v>
      </c>
      <c r="H756" s="21">
        <v>0</v>
      </c>
      <c r="I756" s="21">
        <v>0</v>
      </c>
      <c r="J756" s="21">
        <v>0</v>
      </c>
      <c r="K756" s="40">
        <v>0</v>
      </c>
      <c r="L756" s="21">
        <v>0</v>
      </c>
      <c r="M756" s="21">
        <v>2110</v>
      </c>
      <c r="N756" s="21">
        <v>11183000</v>
      </c>
      <c r="O756" s="21">
        <v>0</v>
      </c>
      <c r="P756" s="21">
        <v>0</v>
      </c>
      <c r="Q756" s="21">
        <v>2622</v>
      </c>
      <c r="R756" s="21">
        <v>6830310</v>
      </c>
      <c r="S756" s="21">
        <v>0</v>
      </c>
      <c r="T756" s="21">
        <v>0</v>
      </c>
      <c r="U756" s="21">
        <v>200000</v>
      </c>
    </row>
    <row r="757" spans="1:21" ht="45" customHeight="1">
      <c r="A757" s="55" t="s">
        <v>1968</v>
      </c>
      <c r="B757" s="55"/>
      <c r="C757" s="1">
        <f t="shared" si="184"/>
        <v>114336700</v>
      </c>
      <c r="D757" s="1">
        <f t="shared" ref="D757:U757" si="196">SUM(D758:D770)</f>
        <v>27776140</v>
      </c>
      <c r="E757" s="1">
        <f t="shared" si="196"/>
        <v>4563335</v>
      </c>
      <c r="F757" s="1">
        <f t="shared" si="196"/>
        <v>10430480</v>
      </c>
      <c r="G757" s="1">
        <f t="shared" si="196"/>
        <v>4563335</v>
      </c>
      <c r="H757" s="1">
        <f t="shared" si="196"/>
        <v>3003750</v>
      </c>
      <c r="I757" s="1">
        <f t="shared" si="196"/>
        <v>5215240</v>
      </c>
      <c r="J757" s="1">
        <f t="shared" si="196"/>
        <v>0</v>
      </c>
      <c r="K757" s="42">
        <f t="shared" si="196"/>
        <v>0</v>
      </c>
      <c r="L757" s="1">
        <f t="shared" si="196"/>
        <v>0</v>
      </c>
      <c r="M757" s="1">
        <f t="shared" si="196"/>
        <v>7679.7999999999993</v>
      </c>
      <c r="N757" s="1">
        <f t="shared" si="196"/>
        <v>40702940</v>
      </c>
      <c r="O757" s="1">
        <f t="shared" si="196"/>
        <v>0</v>
      </c>
      <c r="P757" s="1">
        <f t="shared" si="196"/>
        <v>0</v>
      </c>
      <c r="Q757" s="1">
        <f t="shared" si="196"/>
        <v>16644</v>
      </c>
      <c r="R757" s="1">
        <f t="shared" si="196"/>
        <v>43357620</v>
      </c>
      <c r="S757" s="1">
        <f t="shared" si="196"/>
        <v>0</v>
      </c>
      <c r="T757" s="1">
        <f t="shared" si="196"/>
        <v>0</v>
      </c>
      <c r="U757" s="1">
        <f t="shared" si="196"/>
        <v>2500000</v>
      </c>
    </row>
    <row r="758" spans="1:21" ht="21.95" customHeight="1">
      <c r="A758" s="19" t="s">
        <v>1157</v>
      </c>
      <c r="B758" s="24" t="s">
        <v>353</v>
      </c>
      <c r="C758" s="1">
        <f t="shared" si="184"/>
        <v>3631524.5</v>
      </c>
      <c r="D758" s="21">
        <f t="shared" ref="D758:D770" si="197">SUM(E758:J758)</f>
        <v>533900</v>
      </c>
      <c r="E758" s="21">
        <f>350*281</f>
        <v>98350</v>
      </c>
      <c r="F758" s="21">
        <f>800*281</f>
        <v>224800</v>
      </c>
      <c r="G758" s="21">
        <f>350*281</f>
        <v>98350</v>
      </c>
      <c r="H758" s="21">
        <f t="shared" ref="H758:H763" si="198">500*0</f>
        <v>0</v>
      </c>
      <c r="I758" s="21">
        <f>400*281</f>
        <v>112400</v>
      </c>
      <c r="J758" s="21">
        <v>0</v>
      </c>
      <c r="K758" s="40">
        <v>0</v>
      </c>
      <c r="L758" s="21">
        <v>0</v>
      </c>
      <c r="M758" s="21">
        <v>400</v>
      </c>
      <c r="N758" s="21">
        <v>2120000</v>
      </c>
      <c r="O758" s="21">
        <v>0</v>
      </c>
      <c r="P758" s="21">
        <v>0</v>
      </c>
      <c r="Q758" s="21">
        <v>336.9</v>
      </c>
      <c r="R758" s="21">
        <v>877624.5</v>
      </c>
      <c r="S758" s="21">
        <v>0</v>
      </c>
      <c r="T758" s="21">
        <v>0</v>
      </c>
      <c r="U758" s="21">
        <v>100000</v>
      </c>
    </row>
    <row r="759" spans="1:21" ht="21.95" customHeight="1">
      <c r="A759" s="19" t="s">
        <v>1158</v>
      </c>
      <c r="B759" s="24" t="s">
        <v>357</v>
      </c>
      <c r="C759" s="1">
        <f t="shared" si="184"/>
        <v>7406325</v>
      </c>
      <c r="D759" s="21">
        <f t="shared" si="197"/>
        <v>1268060</v>
      </c>
      <c r="E759" s="21">
        <f>350*667.4</f>
        <v>233590</v>
      </c>
      <c r="F759" s="21">
        <f>800*667.4</f>
        <v>533920</v>
      </c>
      <c r="G759" s="21">
        <f>350*667.4</f>
        <v>233590</v>
      </c>
      <c r="H759" s="21">
        <f t="shared" si="198"/>
        <v>0</v>
      </c>
      <c r="I759" s="21">
        <f>400*667.4</f>
        <v>266960</v>
      </c>
      <c r="J759" s="21">
        <v>0</v>
      </c>
      <c r="K759" s="40">
        <v>0</v>
      </c>
      <c r="L759" s="21">
        <v>0</v>
      </c>
      <c r="M759" s="21">
        <v>554.70000000000005</v>
      </c>
      <c r="N759" s="21">
        <v>2939910</v>
      </c>
      <c r="O759" s="21">
        <v>0</v>
      </c>
      <c r="P759" s="21">
        <v>0</v>
      </c>
      <c r="Q759" s="21">
        <v>1151</v>
      </c>
      <c r="R759" s="21">
        <v>2998355</v>
      </c>
      <c r="S759" s="21">
        <v>0</v>
      </c>
      <c r="T759" s="21">
        <v>0</v>
      </c>
      <c r="U759" s="21">
        <v>200000</v>
      </c>
    </row>
    <row r="760" spans="1:21" ht="21.95" customHeight="1">
      <c r="A760" s="19" t="s">
        <v>1159</v>
      </c>
      <c r="B760" s="24" t="s">
        <v>358</v>
      </c>
      <c r="C760" s="1">
        <f t="shared" si="184"/>
        <v>7483744</v>
      </c>
      <c r="D760" s="21">
        <f t="shared" si="197"/>
        <v>1326390</v>
      </c>
      <c r="E760" s="21">
        <f>350*698.1</f>
        <v>244335</v>
      </c>
      <c r="F760" s="21">
        <f>800*698.1</f>
        <v>558480</v>
      </c>
      <c r="G760" s="21">
        <f>350*698.1</f>
        <v>244335</v>
      </c>
      <c r="H760" s="21">
        <f t="shared" si="198"/>
        <v>0</v>
      </c>
      <c r="I760" s="21">
        <f>400*698.1</f>
        <v>279240</v>
      </c>
      <c r="J760" s="21">
        <v>0</v>
      </c>
      <c r="K760" s="40">
        <v>0</v>
      </c>
      <c r="L760" s="21">
        <v>0</v>
      </c>
      <c r="M760" s="21">
        <v>558.4</v>
      </c>
      <c r="N760" s="21">
        <v>2959520</v>
      </c>
      <c r="O760" s="21">
        <v>0</v>
      </c>
      <c r="P760" s="21">
        <v>0</v>
      </c>
      <c r="Q760" s="21">
        <v>1150.8</v>
      </c>
      <c r="R760" s="21">
        <v>2997834</v>
      </c>
      <c r="S760" s="21">
        <v>0</v>
      </c>
      <c r="T760" s="21">
        <v>0</v>
      </c>
      <c r="U760" s="21">
        <v>200000</v>
      </c>
    </row>
    <row r="761" spans="1:21" ht="21.95" customHeight="1">
      <c r="A761" s="19" t="s">
        <v>1160</v>
      </c>
      <c r="B761" s="24" t="s">
        <v>359</v>
      </c>
      <c r="C761" s="1">
        <f t="shared" si="184"/>
        <v>7435981.5</v>
      </c>
      <c r="D761" s="21">
        <f t="shared" si="197"/>
        <v>1287440</v>
      </c>
      <c r="E761" s="21">
        <f>350*677.6</f>
        <v>237160</v>
      </c>
      <c r="F761" s="21">
        <f>800*677.6</f>
        <v>542080</v>
      </c>
      <c r="G761" s="21">
        <f>350*677.6</f>
        <v>237160</v>
      </c>
      <c r="H761" s="21">
        <f t="shared" si="198"/>
        <v>0</v>
      </c>
      <c r="I761" s="21">
        <f>400*677.6</f>
        <v>271040</v>
      </c>
      <c r="J761" s="21">
        <v>0</v>
      </c>
      <c r="K761" s="40">
        <v>0</v>
      </c>
      <c r="L761" s="21">
        <v>0</v>
      </c>
      <c r="M761" s="21">
        <v>556</v>
      </c>
      <c r="N761" s="21">
        <v>2946800</v>
      </c>
      <c r="O761" s="21">
        <v>0</v>
      </c>
      <c r="P761" s="21">
        <v>0</v>
      </c>
      <c r="Q761" s="21">
        <v>1152.3</v>
      </c>
      <c r="R761" s="21">
        <v>3001741.5</v>
      </c>
      <c r="S761" s="21">
        <v>0</v>
      </c>
      <c r="T761" s="21">
        <v>0</v>
      </c>
      <c r="U761" s="21">
        <v>200000</v>
      </c>
    </row>
    <row r="762" spans="1:21" ht="21.95" customHeight="1">
      <c r="A762" s="19" t="s">
        <v>1161</v>
      </c>
      <c r="B762" s="24" t="s">
        <v>360</v>
      </c>
      <c r="C762" s="1">
        <f t="shared" si="184"/>
        <v>7358955.5</v>
      </c>
      <c r="D762" s="21">
        <f t="shared" si="197"/>
        <v>1196050</v>
      </c>
      <c r="E762" s="21">
        <f>350*629.5</f>
        <v>220325</v>
      </c>
      <c r="F762" s="21">
        <f>800*629.5</f>
        <v>503600</v>
      </c>
      <c r="G762" s="21">
        <f>350*629.5</f>
        <v>220325</v>
      </c>
      <c r="H762" s="21">
        <f t="shared" si="198"/>
        <v>0</v>
      </c>
      <c r="I762" s="21">
        <f>400*629.5</f>
        <v>251800</v>
      </c>
      <c r="J762" s="21">
        <v>0</v>
      </c>
      <c r="K762" s="40">
        <v>0</v>
      </c>
      <c r="L762" s="21">
        <v>0</v>
      </c>
      <c r="M762" s="21">
        <v>559.29999999999995</v>
      </c>
      <c r="N762" s="21">
        <v>2964290</v>
      </c>
      <c r="O762" s="21">
        <v>0</v>
      </c>
      <c r="P762" s="21">
        <v>0</v>
      </c>
      <c r="Q762" s="21">
        <v>1151.0999999999999</v>
      </c>
      <c r="R762" s="21">
        <v>2998615.5</v>
      </c>
      <c r="S762" s="21">
        <v>0</v>
      </c>
      <c r="T762" s="21">
        <v>0</v>
      </c>
      <c r="U762" s="21">
        <v>200000</v>
      </c>
    </row>
    <row r="763" spans="1:21" ht="21.95" customHeight="1">
      <c r="A763" s="19" t="s">
        <v>1162</v>
      </c>
      <c r="B763" s="24" t="s">
        <v>361</v>
      </c>
      <c r="C763" s="1">
        <f t="shared" si="184"/>
        <v>6716564.5</v>
      </c>
      <c r="D763" s="21">
        <f t="shared" si="197"/>
        <v>1366670</v>
      </c>
      <c r="E763" s="21">
        <f>350*719.3</f>
        <v>251754.99999999997</v>
      </c>
      <c r="F763" s="21">
        <f>800*719.3</f>
        <v>575440</v>
      </c>
      <c r="G763" s="21">
        <f>350*719.3</f>
        <v>251754.99999999997</v>
      </c>
      <c r="H763" s="21">
        <f t="shared" si="198"/>
        <v>0</v>
      </c>
      <c r="I763" s="21">
        <f>400*719.3</f>
        <v>287720</v>
      </c>
      <c r="J763" s="21">
        <v>0</v>
      </c>
      <c r="K763" s="40">
        <v>0</v>
      </c>
      <c r="L763" s="21">
        <v>0</v>
      </c>
      <c r="M763" s="21">
        <v>406</v>
      </c>
      <c r="N763" s="21">
        <v>2151800</v>
      </c>
      <c r="O763" s="21">
        <v>0</v>
      </c>
      <c r="P763" s="21">
        <v>0</v>
      </c>
      <c r="Q763" s="21">
        <v>1150.9000000000001</v>
      </c>
      <c r="R763" s="21">
        <v>2998094.5</v>
      </c>
      <c r="S763" s="21">
        <v>0</v>
      </c>
      <c r="T763" s="21">
        <v>0</v>
      </c>
      <c r="U763" s="21">
        <v>200000</v>
      </c>
    </row>
    <row r="764" spans="1:21" ht="21.95" customHeight="1">
      <c r="A764" s="19" t="s">
        <v>1163</v>
      </c>
      <c r="B764" s="24" t="s">
        <v>362</v>
      </c>
      <c r="C764" s="1">
        <f t="shared" si="184"/>
        <v>18230631</v>
      </c>
      <c r="D764" s="21">
        <f t="shared" si="197"/>
        <v>0</v>
      </c>
      <c r="E764" s="21">
        <v>0</v>
      </c>
      <c r="F764" s="21">
        <v>0</v>
      </c>
      <c r="G764" s="21">
        <v>0</v>
      </c>
      <c r="H764" s="21">
        <v>0</v>
      </c>
      <c r="I764" s="21">
        <v>0</v>
      </c>
      <c r="J764" s="21">
        <v>0</v>
      </c>
      <c r="K764" s="40">
        <v>0</v>
      </c>
      <c r="L764" s="21">
        <v>0</v>
      </c>
      <c r="M764" s="21">
        <v>1706.2</v>
      </c>
      <c r="N764" s="21">
        <v>9042860</v>
      </c>
      <c r="O764" s="21">
        <v>0</v>
      </c>
      <c r="P764" s="21">
        <v>0</v>
      </c>
      <c r="Q764" s="21">
        <v>3450.2</v>
      </c>
      <c r="R764" s="21">
        <v>8987771</v>
      </c>
      <c r="S764" s="21">
        <v>0</v>
      </c>
      <c r="T764" s="21">
        <v>0</v>
      </c>
      <c r="U764" s="21">
        <v>200000</v>
      </c>
    </row>
    <row r="765" spans="1:21" ht="21.95" customHeight="1">
      <c r="A765" s="19" t="s">
        <v>1164</v>
      </c>
      <c r="B765" s="24" t="s">
        <v>363</v>
      </c>
      <c r="C765" s="1">
        <f t="shared" si="184"/>
        <v>15943650</v>
      </c>
      <c r="D765" s="21">
        <f t="shared" si="197"/>
        <v>8840400</v>
      </c>
      <c r="E765" s="21">
        <f>350*3683.5</f>
        <v>1289225</v>
      </c>
      <c r="F765" s="21">
        <f>800*3683.5</f>
        <v>2946800</v>
      </c>
      <c r="G765" s="21">
        <f>350*3683.5</f>
        <v>1289225</v>
      </c>
      <c r="H765" s="21">
        <f>500*3683.5</f>
        <v>1841750</v>
      </c>
      <c r="I765" s="21">
        <f>400*3683.5</f>
        <v>1473400</v>
      </c>
      <c r="J765" s="21">
        <v>0</v>
      </c>
      <c r="K765" s="40">
        <v>0</v>
      </c>
      <c r="L765" s="21">
        <v>0</v>
      </c>
      <c r="M765" s="21">
        <v>0</v>
      </c>
      <c r="N765" s="21">
        <v>0</v>
      </c>
      <c r="O765" s="21">
        <v>0</v>
      </c>
      <c r="P765" s="21">
        <v>0</v>
      </c>
      <c r="Q765" s="21">
        <v>2650</v>
      </c>
      <c r="R765" s="21">
        <v>6903250</v>
      </c>
      <c r="S765" s="21">
        <v>0</v>
      </c>
      <c r="T765" s="21">
        <v>0</v>
      </c>
      <c r="U765" s="21">
        <v>200000</v>
      </c>
    </row>
    <row r="766" spans="1:21" ht="21.95" customHeight="1">
      <c r="A766" s="19" t="s">
        <v>1165</v>
      </c>
      <c r="B766" s="24" t="s">
        <v>364</v>
      </c>
      <c r="C766" s="1">
        <f t="shared" si="184"/>
        <v>4328928</v>
      </c>
      <c r="D766" s="21">
        <f t="shared" si="197"/>
        <v>871340</v>
      </c>
      <c r="E766" s="21">
        <f>350*458.6</f>
        <v>160510</v>
      </c>
      <c r="F766" s="21">
        <f>800*458.6</f>
        <v>366880</v>
      </c>
      <c r="G766" s="21">
        <f>350*458.6</f>
        <v>160510</v>
      </c>
      <c r="H766" s="21">
        <f>500*0</f>
        <v>0</v>
      </c>
      <c r="I766" s="21">
        <f>400*458.6</f>
        <v>183440</v>
      </c>
      <c r="J766" s="21">
        <v>0</v>
      </c>
      <c r="K766" s="40">
        <v>0</v>
      </c>
      <c r="L766" s="21">
        <v>0</v>
      </c>
      <c r="M766" s="21">
        <v>362.2</v>
      </c>
      <c r="N766" s="21">
        <v>1919660</v>
      </c>
      <c r="O766" s="21">
        <v>0</v>
      </c>
      <c r="P766" s="21">
        <v>0</v>
      </c>
      <c r="Q766" s="21">
        <v>513.6</v>
      </c>
      <c r="R766" s="21">
        <v>1337928</v>
      </c>
      <c r="S766" s="21">
        <v>0</v>
      </c>
      <c r="T766" s="21">
        <v>0</v>
      </c>
      <c r="U766" s="21">
        <v>200000</v>
      </c>
    </row>
    <row r="767" spans="1:21" ht="21.95" customHeight="1">
      <c r="A767" s="19" t="s">
        <v>1166</v>
      </c>
      <c r="B767" s="24" t="s">
        <v>365</v>
      </c>
      <c r="C767" s="1">
        <f t="shared" si="184"/>
        <v>7937355.5</v>
      </c>
      <c r="D767" s="21">
        <f t="shared" si="197"/>
        <v>1961560.0000000002</v>
      </c>
      <c r="E767" s="21">
        <f>350*1032.4</f>
        <v>361340.00000000006</v>
      </c>
      <c r="F767" s="21">
        <f>800*1032.4</f>
        <v>825920.00000000012</v>
      </c>
      <c r="G767" s="21">
        <f>350*1032.4</f>
        <v>361340.00000000006</v>
      </c>
      <c r="H767" s="21">
        <f>500*0</f>
        <v>0</v>
      </c>
      <c r="I767" s="21">
        <f>400*1032.4</f>
        <v>412960.00000000006</v>
      </c>
      <c r="J767" s="21">
        <v>0</v>
      </c>
      <c r="K767" s="40">
        <v>0</v>
      </c>
      <c r="L767" s="21">
        <v>0</v>
      </c>
      <c r="M767" s="21">
        <v>668.5</v>
      </c>
      <c r="N767" s="21">
        <v>3543050</v>
      </c>
      <c r="O767" s="21">
        <v>0</v>
      </c>
      <c r="P767" s="21">
        <v>0</v>
      </c>
      <c r="Q767" s="21">
        <v>857.1</v>
      </c>
      <c r="R767" s="21">
        <v>2232745.5</v>
      </c>
      <c r="S767" s="21">
        <v>0</v>
      </c>
      <c r="T767" s="21">
        <v>0</v>
      </c>
      <c r="U767" s="21">
        <v>200000</v>
      </c>
    </row>
    <row r="768" spans="1:21" ht="21.95" customHeight="1">
      <c r="A768" s="19" t="s">
        <v>1167</v>
      </c>
      <c r="B768" s="24" t="s">
        <v>366</v>
      </c>
      <c r="C768" s="1">
        <f t="shared" si="184"/>
        <v>11670285</v>
      </c>
      <c r="D768" s="21">
        <f t="shared" si="197"/>
        <v>4548960</v>
      </c>
      <c r="E768" s="21">
        <f>350*1895.4</f>
        <v>663390</v>
      </c>
      <c r="F768" s="21">
        <f>800*1895.4</f>
        <v>1516320</v>
      </c>
      <c r="G768" s="21">
        <f>350*1895.4</f>
        <v>663390</v>
      </c>
      <c r="H768" s="21">
        <f>500*1895.4</f>
        <v>947700</v>
      </c>
      <c r="I768" s="21">
        <f>400*1895.4</f>
        <v>758160</v>
      </c>
      <c r="J768" s="21">
        <v>0</v>
      </c>
      <c r="K768" s="40">
        <v>0</v>
      </c>
      <c r="L768" s="21">
        <v>0</v>
      </c>
      <c r="M768" s="21">
        <v>739.2</v>
      </c>
      <c r="N768" s="21">
        <v>3917760</v>
      </c>
      <c r="O768" s="21">
        <v>0</v>
      </c>
      <c r="P768" s="21">
        <v>0</v>
      </c>
      <c r="Q768" s="21">
        <v>1153</v>
      </c>
      <c r="R768" s="21">
        <v>3003565</v>
      </c>
      <c r="S768" s="21">
        <v>0</v>
      </c>
      <c r="T768" s="21">
        <v>0</v>
      </c>
      <c r="U768" s="21">
        <v>200000</v>
      </c>
    </row>
    <row r="769" spans="1:22" ht="21.95" customHeight="1">
      <c r="A769" s="19" t="s">
        <v>1793</v>
      </c>
      <c r="B769" s="24" t="s">
        <v>367</v>
      </c>
      <c r="C769" s="1">
        <f t="shared" si="184"/>
        <v>4593377</v>
      </c>
      <c r="D769" s="21">
        <f t="shared" si="197"/>
        <v>1028640</v>
      </c>
      <c r="E769" s="21">
        <f>350*428.6</f>
        <v>150010</v>
      </c>
      <c r="F769" s="21">
        <f>800*428.6</f>
        <v>342880</v>
      </c>
      <c r="G769" s="21">
        <f>350*428.6</f>
        <v>150010</v>
      </c>
      <c r="H769" s="21">
        <f>500*428.6</f>
        <v>214300</v>
      </c>
      <c r="I769" s="21">
        <f>400*428.6</f>
        <v>171440</v>
      </c>
      <c r="J769" s="21">
        <v>0</v>
      </c>
      <c r="K769" s="40">
        <v>0</v>
      </c>
      <c r="L769" s="21">
        <v>0</v>
      </c>
      <c r="M769" s="21">
        <v>377.6</v>
      </c>
      <c r="N769" s="21">
        <v>2001280</v>
      </c>
      <c r="O769" s="21">
        <v>0</v>
      </c>
      <c r="P769" s="21">
        <v>0</v>
      </c>
      <c r="Q769" s="21">
        <v>523.4</v>
      </c>
      <c r="R769" s="21">
        <v>1363457</v>
      </c>
      <c r="S769" s="21">
        <v>0</v>
      </c>
      <c r="T769" s="21">
        <v>0</v>
      </c>
      <c r="U769" s="21">
        <v>200000</v>
      </c>
    </row>
    <row r="770" spans="1:22" ht="21.95" customHeight="1">
      <c r="A770" s="19" t="s">
        <v>1168</v>
      </c>
      <c r="B770" s="24" t="s">
        <v>368</v>
      </c>
      <c r="C770" s="1">
        <f t="shared" si="184"/>
        <v>11599378.5</v>
      </c>
      <c r="D770" s="21">
        <f t="shared" si="197"/>
        <v>3546730</v>
      </c>
      <c r="E770" s="21">
        <f>350*1866.7</f>
        <v>653345</v>
      </c>
      <c r="F770" s="21">
        <f>800*1866.7</f>
        <v>1493360</v>
      </c>
      <c r="G770" s="21">
        <f>350*1866.7</f>
        <v>653345</v>
      </c>
      <c r="H770" s="21">
        <f>500*0</f>
        <v>0</v>
      </c>
      <c r="I770" s="21">
        <f>400*1866.7</f>
        <v>746680</v>
      </c>
      <c r="J770" s="21">
        <v>0</v>
      </c>
      <c r="K770" s="40">
        <v>0</v>
      </c>
      <c r="L770" s="21">
        <v>0</v>
      </c>
      <c r="M770" s="21">
        <v>791.7</v>
      </c>
      <c r="N770" s="21">
        <v>4196010</v>
      </c>
      <c r="O770" s="21">
        <v>0</v>
      </c>
      <c r="P770" s="21">
        <v>0</v>
      </c>
      <c r="Q770" s="21">
        <v>1403.7</v>
      </c>
      <c r="R770" s="21">
        <v>3656638.5</v>
      </c>
      <c r="S770" s="21">
        <v>0</v>
      </c>
      <c r="T770" s="21">
        <v>0</v>
      </c>
      <c r="U770" s="21">
        <v>200000</v>
      </c>
    </row>
    <row r="771" spans="1:22" ht="45" customHeight="1">
      <c r="A771" s="55" t="s">
        <v>386</v>
      </c>
      <c r="B771" s="55"/>
      <c r="C771" s="1">
        <f t="shared" si="184"/>
        <v>2534505</v>
      </c>
      <c r="D771" s="1">
        <f t="shared" ref="D771:U771" si="199">SUM(D772)</f>
        <v>90125</v>
      </c>
      <c r="E771" s="1">
        <f t="shared" si="199"/>
        <v>90125</v>
      </c>
      <c r="F771" s="1">
        <f t="shared" si="199"/>
        <v>0</v>
      </c>
      <c r="G771" s="1">
        <f t="shared" si="199"/>
        <v>0</v>
      </c>
      <c r="H771" s="1">
        <f t="shared" si="199"/>
        <v>0</v>
      </c>
      <c r="I771" s="1">
        <f t="shared" si="199"/>
        <v>0</v>
      </c>
      <c r="J771" s="1">
        <f t="shared" si="199"/>
        <v>0</v>
      </c>
      <c r="K771" s="42">
        <f t="shared" si="199"/>
        <v>0</v>
      </c>
      <c r="L771" s="1">
        <f t="shared" si="199"/>
        <v>0</v>
      </c>
      <c r="M771" s="1">
        <f t="shared" si="199"/>
        <v>255</v>
      </c>
      <c r="N771" s="1">
        <f t="shared" si="199"/>
        <v>1351500</v>
      </c>
      <c r="O771" s="1">
        <f t="shared" si="199"/>
        <v>0</v>
      </c>
      <c r="P771" s="1">
        <f t="shared" si="199"/>
        <v>0</v>
      </c>
      <c r="Q771" s="1">
        <f t="shared" si="199"/>
        <v>296.5</v>
      </c>
      <c r="R771" s="1">
        <f t="shared" si="199"/>
        <v>771080</v>
      </c>
      <c r="S771" s="1">
        <f t="shared" si="199"/>
        <v>121800</v>
      </c>
      <c r="T771" s="1">
        <f t="shared" si="199"/>
        <v>0</v>
      </c>
      <c r="U771" s="1">
        <f t="shared" si="199"/>
        <v>200000</v>
      </c>
      <c r="V771" s="13">
        <f>C771</f>
        <v>2534505</v>
      </c>
    </row>
    <row r="772" spans="1:22" ht="21.95" customHeight="1">
      <c r="A772" s="19" t="s">
        <v>1169</v>
      </c>
      <c r="B772" s="24" t="s">
        <v>383</v>
      </c>
      <c r="C772" s="1">
        <f t="shared" si="184"/>
        <v>2534505</v>
      </c>
      <c r="D772" s="21">
        <f t="shared" ref="D772" si="200">SUM(E772:J772)</f>
        <v>90125</v>
      </c>
      <c r="E772" s="21">
        <f>350*257.5</f>
        <v>90125</v>
      </c>
      <c r="F772" s="21">
        <f>800*0</f>
        <v>0</v>
      </c>
      <c r="G772" s="21">
        <f>350*0</f>
        <v>0</v>
      </c>
      <c r="H772" s="21">
        <f>500*0</f>
        <v>0</v>
      </c>
      <c r="I772" s="21">
        <f>400*0</f>
        <v>0</v>
      </c>
      <c r="J772" s="21">
        <v>0</v>
      </c>
      <c r="K772" s="40">
        <v>0</v>
      </c>
      <c r="L772" s="21">
        <v>0</v>
      </c>
      <c r="M772" s="21">
        <v>255</v>
      </c>
      <c r="N772" s="21">
        <v>1351500</v>
      </c>
      <c r="O772" s="21">
        <v>0</v>
      </c>
      <c r="P772" s="21">
        <v>0</v>
      </c>
      <c r="Q772" s="21">
        <v>296.5</v>
      </c>
      <c r="R772" s="21">
        <v>771080</v>
      </c>
      <c r="S772" s="21">
        <v>121800</v>
      </c>
      <c r="T772" s="21">
        <v>0</v>
      </c>
      <c r="U772" s="21">
        <v>200000</v>
      </c>
    </row>
    <row r="773" spans="1:22" s="45" customFormat="1" ht="24.95" customHeight="1">
      <c r="A773" s="57" t="s">
        <v>217</v>
      </c>
      <c r="B773" s="57"/>
      <c r="C773" s="57"/>
      <c r="D773" s="57"/>
      <c r="E773" s="57"/>
      <c r="F773" s="57"/>
      <c r="G773" s="57"/>
      <c r="H773" s="57"/>
      <c r="I773" s="57"/>
      <c r="J773" s="57"/>
      <c r="K773" s="57"/>
      <c r="L773" s="57"/>
      <c r="M773" s="57"/>
      <c r="N773" s="57"/>
      <c r="O773" s="57"/>
      <c r="P773" s="57"/>
      <c r="Q773" s="57"/>
      <c r="R773" s="57"/>
      <c r="S773" s="57"/>
      <c r="T773" s="57"/>
      <c r="U773" s="57"/>
    </row>
    <row r="774" spans="1:22" ht="24.95" customHeight="1">
      <c r="A774" s="56" t="s">
        <v>218</v>
      </c>
      <c r="B774" s="56"/>
      <c r="C774" s="1">
        <f t="shared" ref="C774:C837" si="201">D774+L774+N774+P774+R774+S774+T774+U774</f>
        <v>1294991573.6499999</v>
      </c>
      <c r="D774" s="1">
        <f t="shared" ref="D774:U774" si="202">D775+D778+D799+D802+D806+D809+D812+D816+D818+D821+D826+D828+D832+D834+D837+D839+D841+D843+D845+D847+D852+D854+D870+D874+D879+D881+D892+D895+D898+D1069+D1071+D1073+D1075+D1078+D1082+D1086+D1089+D1091+D1093+D1095+D1098+D1100+D1113</f>
        <v>258732321.5</v>
      </c>
      <c r="E774" s="1">
        <f t="shared" si="202"/>
        <v>43274462</v>
      </c>
      <c r="F774" s="1">
        <f t="shared" si="202"/>
        <v>93890672</v>
      </c>
      <c r="G774" s="1">
        <f t="shared" si="202"/>
        <v>40651023.5</v>
      </c>
      <c r="H774" s="1">
        <f t="shared" si="202"/>
        <v>32777840</v>
      </c>
      <c r="I774" s="1">
        <f t="shared" si="202"/>
        <v>48138324</v>
      </c>
      <c r="J774" s="1">
        <f t="shared" si="202"/>
        <v>0</v>
      </c>
      <c r="K774" s="42">
        <f t="shared" si="202"/>
        <v>5</v>
      </c>
      <c r="L774" s="1">
        <f t="shared" si="202"/>
        <v>11050000</v>
      </c>
      <c r="M774" s="1">
        <f t="shared" si="202"/>
        <v>148892.81000000006</v>
      </c>
      <c r="N774" s="1">
        <f t="shared" si="202"/>
        <v>745373137.79999995</v>
      </c>
      <c r="O774" s="1">
        <f t="shared" si="202"/>
        <v>1768.9</v>
      </c>
      <c r="P774" s="1">
        <f t="shared" si="202"/>
        <v>2525760</v>
      </c>
      <c r="Q774" s="1">
        <f t="shared" si="202"/>
        <v>81130.240000000005</v>
      </c>
      <c r="R774" s="1">
        <f t="shared" si="202"/>
        <v>215873480.34999999</v>
      </c>
      <c r="S774" s="1">
        <f t="shared" si="202"/>
        <v>2736874</v>
      </c>
      <c r="T774" s="1">
        <f t="shared" si="202"/>
        <v>0</v>
      </c>
      <c r="U774" s="1">
        <f t="shared" si="202"/>
        <v>58700000</v>
      </c>
    </row>
    <row r="775" spans="1:22" ht="45" customHeight="1">
      <c r="A775" s="55" t="s">
        <v>1969</v>
      </c>
      <c r="B775" s="55"/>
      <c r="C775" s="1">
        <f t="shared" si="201"/>
        <v>9881700</v>
      </c>
      <c r="D775" s="1">
        <f t="shared" ref="D775:U775" si="203">SUM(D776:D777)</f>
        <v>0</v>
      </c>
      <c r="E775" s="1">
        <f t="shared" si="203"/>
        <v>0</v>
      </c>
      <c r="F775" s="1">
        <f t="shared" si="203"/>
        <v>0</v>
      </c>
      <c r="G775" s="1">
        <f t="shared" si="203"/>
        <v>0</v>
      </c>
      <c r="H775" s="1">
        <f t="shared" si="203"/>
        <v>0</v>
      </c>
      <c r="I775" s="1">
        <f t="shared" si="203"/>
        <v>0</v>
      </c>
      <c r="J775" s="1">
        <f t="shared" si="203"/>
        <v>0</v>
      </c>
      <c r="K775" s="42">
        <f t="shared" si="203"/>
        <v>0</v>
      </c>
      <c r="L775" s="1">
        <f t="shared" si="203"/>
        <v>0</v>
      </c>
      <c r="M775" s="1">
        <f t="shared" si="203"/>
        <v>1789</v>
      </c>
      <c r="N775" s="1">
        <f t="shared" si="203"/>
        <v>9481700</v>
      </c>
      <c r="O775" s="1">
        <f t="shared" si="203"/>
        <v>0</v>
      </c>
      <c r="P775" s="1">
        <f t="shared" si="203"/>
        <v>0</v>
      </c>
      <c r="Q775" s="1">
        <f t="shared" si="203"/>
        <v>0</v>
      </c>
      <c r="R775" s="1">
        <f t="shared" si="203"/>
        <v>0</v>
      </c>
      <c r="S775" s="1">
        <f t="shared" si="203"/>
        <v>0</v>
      </c>
      <c r="T775" s="1">
        <f t="shared" si="203"/>
        <v>0</v>
      </c>
      <c r="U775" s="1">
        <f t="shared" si="203"/>
        <v>400000</v>
      </c>
    </row>
    <row r="776" spans="1:22" ht="21.95" customHeight="1">
      <c r="A776" s="19" t="s">
        <v>1170</v>
      </c>
      <c r="B776" s="20" t="s">
        <v>19</v>
      </c>
      <c r="C776" s="1">
        <f t="shared" si="201"/>
        <v>5208500</v>
      </c>
      <c r="D776" s="21">
        <f t="shared" ref="D776:D777" si="204">SUM(E776:J776)</f>
        <v>0</v>
      </c>
      <c r="E776" s="21">
        <v>0</v>
      </c>
      <c r="F776" s="21">
        <v>0</v>
      </c>
      <c r="G776" s="21">
        <v>0</v>
      </c>
      <c r="H776" s="21">
        <v>0</v>
      </c>
      <c r="I776" s="21">
        <v>0</v>
      </c>
      <c r="J776" s="21">
        <v>0</v>
      </c>
      <c r="K776" s="40">
        <v>0</v>
      </c>
      <c r="L776" s="21">
        <v>0</v>
      </c>
      <c r="M776" s="21">
        <v>945</v>
      </c>
      <c r="N776" s="21">
        <v>5008500</v>
      </c>
      <c r="O776" s="21">
        <v>0</v>
      </c>
      <c r="P776" s="21">
        <v>0</v>
      </c>
      <c r="Q776" s="21">
        <v>0</v>
      </c>
      <c r="R776" s="21">
        <v>0</v>
      </c>
      <c r="S776" s="21">
        <v>0</v>
      </c>
      <c r="T776" s="21">
        <v>0</v>
      </c>
      <c r="U776" s="21">
        <v>200000</v>
      </c>
    </row>
    <row r="777" spans="1:22" ht="21.95" customHeight="1">
      <c r="A777" s="19" t="s">
        <v>1171</v>
      </c>
      <c r="B777" s="20" t="s">
        <v>24</v>
      </c>
      <c r="C777" s="1">
        <f t="shared" si="201"/>
        <v>4673200</v>
      </c>
      <c r="D777" s="21">
        <f t="shared" si="204"/>
        <v>0</v>
      </c>
      <c r="E777" s="21">
        <v>0</v>
      </c>
      <c r="F777" s="21">
        <v>0</v>
      </c>
      <c r="G777" s="21">
        <v>0</v>
      </c>
      <c r="H777" s="21">
        <v>0</v>
      </c>
      <c r="I777" s="21">
        <v>0</v>
      </c>
      <c r="J777" s="21">
        <v>0</v>
      </c>
      <c r="K777" s="40">
        <v>0</v>
      </c>
      <c r="L777" s="21">
        <v>0</v>
      </c>
      <c r="M777" s="21">
        <v>844</v>
      </c>
      <c r="N777" s="21">
        <v>4473200</v>
      </c>
      <c r="O777" s="21">
        <v>0</v>
      </c>
      <c r="P777" s="21">
        <v>0</v>
      </c>
      <c r="Q777" s="21">
        <v>0</v>
      </c>
      <c r="R777" s="21">
        <v>0</v>
      </c>
      <c r="S777" s="21">
        <v>0</v>
      </c>
      <c r="T777" s="21">
        <v>0</v>
      </c>
      <c r="U777" s="21">
        <v>200000</v>
      </c>
    </row>
    <row r="778" spans="1:22" ht="45" customHeight="1">
      <c r="A778" s="55" t="s">
        <v>0</v>
      </c>
      <c r="B778" s="55"/>
      <c r="C778" s="1">
        <f t="shared" si="201"/>
        <v>119558391.7</v>
      </c>
      <c r="D778" s="1">
        <f t="shared" ref="D778:U778" si="205">SUM(D779:D798)</f>
        <v>18960734</v>
      </c>
      <c r="E778" s="1">
        <f t="shared" si="205"/>
        <v>3574095</v>
      </c>
      <c r="F778" s="1">
        <f t="shared" si="205"/>
        <v>7727864</v>
      </c>
      <c r="G778" s="1">
        <f t="shared" si="205"/>
        <v>3574095</v>
      </c>
      <c r="H778" s="1">
        <f t="shared" si="205"/>
        <v>0</v>
      </c>
      <c r="I778" s="1">
        <f t="shared" si="205"/>
        <v>4084680</v>
      </c>
      <c r="J778" s="1">
        <f t="shared" si="205"/>
        <v>0</v>
      </c>
      <c r="K778" s="42">
        <f t="shared" si="205"/>
        <v>0</v>
      </c>
      <c r="L778" s="1">
        <f t="shared" si="205"/>
        <v>0</v>
      </c>
      <c r="M778" s="1">
        <f t="shared" si="205"/>
        <v>17251.78</v>
      </c>
      <c r="N778" s="1">
        <f t="shared" si="205"/>
        <v>79467334</v>
      </c>
      <c r="O778" s="1">
        <f t="shared" si="205"/>
        <v>0</v>
      </c>
      <c r="P778" s="1">
        <f t="shared" si="205"/>
        <v>0</v>
      </c>
      <c r="Q778" s="1">
        <f t="shared" si="205"/>
        <v>6575.94</v>
      </c>
      <c r="R778" s="1">
        <f t="shared" si="205"/>
        <v>17130323.699999999</v>
      </c>
      <c r="S778" s="1">
        <f t="shared" si="205"/>
        <v>0</v>
      </c>
      <c r="T778" s="1">
        <f t="shared" si="205"/>
        <v>0</v>
      </c>
      <c r="U778" s="1">
        <f t="shared" si="205"/>
        <v>4000000</v>
      </c>
    </row>
    <row r="779" spans="1:22" ht="20.100000000000001" customHeight="1">
      <c r="A779" s="19" t="s">
        <v>1172</v>
      </c>
      <c r="B779" s="24" t="s">
        <v>1521</v>
      </c>
      <c r="C779" s="1">
        <f t="shared" si="201"/>
        <v>11264900</v>
      </c>
      <c r="D779" s="21">
        <f t="shared" ref="D779:D798" si="206">SUM(E779:J779)</f>
        <v>0</v>
      </c>
      <c r="E779" s="21">
        <v>0</v>
      </c>
      <c r="F779" s="21">
        <v>0</v>
      </c>
      <c r="G779" s="21">
        <v>0</v>
      </c>
      <c r="H779" s="21">
        <v>0</v>
      </c>
      <c r="I779" s="21">
        <v>0</v>
      </c>
      <c r="J779" s="21">
        <v>0</v>
      </c>
      <c r="K779" s="5">
        <v>0</v>
      </c>
      <c r="L779" s="3">
        <v>0</v>
      </c>
      <c r="M779" s="3">
        <v>3353</v>
      </c>
      <c r="N779" s="3">
        <f>M779*3300</f>
        <v>11064900</v>
      </c>
      <c r="O779" s="3">
        <v>0</v>
      </c>
      <c r="P779" s="3">
        <v>0</v>
      </c>
      <c r="Q779" s="3">
        <v>0</v>
      </c>
      <c r="R779" s="3">
        <v>0</v>
      </c>
      <c r="S779" s="3">
        <v>0</v>
      </c>
      <c r="T779" s="3">
        <v>0</v>
      </c>
      <c r="U779" s="3">
        <v>200000</v>
      </c>
    </row>
    <row r="780" spans="1:22" ht="20.100000000000001" customHeight="1">
      <c r="A780" s="19" t="s">
        <v>1173</v>
      </c>
      <c r="B780" s="22" t="s">
        <v>42</v>
      </c>
      <c r="C780" s="1">
        <f t="shared" si="201"/>
        <v>1632060</v>
      </c>
      <c r="D780" s="21">
        <f t="shared" si="206"/>
        <v>0</v>
      </c>
      <c r="E780" s="21">
        <v>0</v>
      </c>
      <c r="F780" s="21">
        <v>0</v>
      </c>
      <c r="G780" s="21">
        <v>0</v>
      </c>
      <c r="H780" s="21">
        <v>0</v>
      </c>
      <c r="I780" s="21">
        <v>0</v>
      </c>
      <c r="J780" s="21">
        <v>0</v>
      </c>
      <c r="K780" s="40">
        <v>0</v>
      </c>
      <c r="L780" s="21">
        <v>0</v>
      </c>
      <c r="M780" s="21">
        <v>270.2</v>
      </c>
      <c r="N780" s="23">
        <v>1432060</v>
      </c>
      <c r="O780" s="21">
        <v>0</v>
      </c>
      <c r="P780" s="21">
        <v>0</v>
      </c>
      <c r="Q780" s="21">
        <v>0</v>
      </c>
      <c r="R780" s="21">
        <v>0</v>
      </c>
      <c r="S780" s="21">
        <v>0</v>
      </c>
      <c r="T780" s="3">
        <v>0</v>
      </c>
      <c r="U780" s="21">
        <v>200000</v>
      </c>
    </row>
    <row r="781" spans="1:22" ht="20.100000000000001" customHeight="1">
      <c r="A781" s="19" t="s">
        <v>1174</v>
      </c>
      <c r="B781" s="24" t="s">
        <v>48</v>
      </c>
      <c r="C781" s="1">
        <f t="shared" si="201"/>
        <v>2655212.5</v>
      </c>
      <c r="D781" s="21">
        <f t="shared" si="206"/>
        <v>0</v>
      </c>
      <c r="E781" s="21">
        <v>0</v>
      </c>
      <c r="F781" s="21">
        <v>0</v>
      </c>
      <c r="G781" s="21">
        <v>0</v>
      </c>
      <c r="H781" s="21">
        <v>0</v>
      </c>
      <c r="I781" s="21">
        <v>0</v>
      </c>
      <c r="J781" s="21">
        <v>0</v>
      </c>
      <c r="K781" s="40">
        <v>0</v>
      </c>
      <c r="L781" s="21">
        <v>0</v>
      </c>
      <c r="M781" s="21">
        <v>0</v>
      </c>
      <c r="N781" s="23">
        <v>0</v>
      </c>
      <c r="O781" s="21">
        <v>0</v>
      </c>
      <c r="P781" s="21">
        <v>0</v>
      </c>
      <c r="Q781" s="21">
        <v>942.5</v>
      </c>
      <c r="R781" s="21">
        <v>2455212.5</v>
      </c>
      <c r="S781" s="21">
        <v>0</v>
      </c>
      <c r="T781" s="3">
        <v>0</v>
      </c>
      <c r="U781" s="21">
        <v>200000</v>
      </c>
    </row>
    <row r="782" spans="1:22" ht="20.100000000000001" customHeight="1">
      <c r="A782" s="19" t="s">
        <v>1175</v>
      </c>
      <c r="B782" s="24" t="s">
        <v>51</v>
      </c>
      <c r="C782" s="1">
        <f t="shared" si="201"/>
        <v>9715265.1999999993</v>
      </c>
      <c r="D782" s="21">
        <f t="shared" si="206"/>
        <v>0</v>
      </c>
      <c r="E782" s="21">
        <v>0</v>
      </c>
      <c r="F782" s="21">
        <v>0</v>
      </c>
      <c r="G782" s="21">
        <v>0</v>
      </c>
      <c r="H782" s="21">
        <v>0</v>
      </c>
      <c r="I782" s="21">
        <v>0</v>
      </c>
      <c r="J782" s="21">
        <v>0</v>
      </c>
      <c r="K782" s="40">
        <v>0</v>
      </c>
      <c r="L782" s="21">
        <v>0</v>
      </c>
      <c r="M782" s="21">
        <v>946.28</v>
      </c>
      <c r="N782" s="23">
        <v>5015284</v>
      </c>
      <c r="O782" s="21">
        <v>0</v>
      </c>
      <c r="P782" s="21">
        <v>0</v>
      </c>
      <c r="Q782" s="21">
        <v>1727.44</v>
      </c>
      <c r="R782" s="21">
        <v>4499981.2</v>
      </c>
      <c r="S782" s="21">
        <v>0</v>
      </c>
      <c r="T782" s="3">
        <v>0</v>
      </c>
      <c r="U782" s="21">
        <v>200000</v>
      </c>
    </row>
    <row r="783" spans="1:22" ht="20.100000000000001" customHeight="1">
      <c r="A783" s="19" t="s">
        <v>1176</v>
      </c>
      <c r="B783" s="24" t="s">
        <v>1522</v>
      </c>
      <c r="C783" s="1">
        <f t="shared" si="201"/>
        <v>7727192</v>
      </c>
      <c r="D783" s="21">
        <f t="shared" si="206"/>
        <v>7527192</v>
      </c>
      <c r="E783" s="21">
        <f>350*3961.68</f>
        <v>1386588</v>
      </c>
      <c r="F783" s="21">
        <f>800*3961.68</f>
        <v>3169344</v>
      </c>
      <c r="G783" s="21">
        <f>350*3961.68</f>
        <v>1386588</v>
      </c>
      <c r="H783" s="21">
        <f>500*0</f>
        <v>0</v>
      </c>
      <c r="I783" s="21">
        <f>400*3961.68</f>
        <v>1584672</v>
      </c>
      <c r="J783" s="21">
        <v>0</v>
      </c>
      <c r="K783" s="40">
        <v>0</v>
      </c>
      <c r="L783" s="21">
        <v>0</v>
      </c>
      <c r="M783" s="21">
        <v>0</v>
      </c>
      <c r="N783" s="23">
        <v>0</v>
      </c>
      <c r="O783" s="21">
        <v>0</v>
      </c>
      <c r="P783" s="21">
        <v>0</v>
      </c>
      <c r="Q783" s="21">
        <v>0</v>
      </c>
      <c r="R783" s="21">
        <v>0</v>
      </c>
      <c r="S783" s="21">
        <v>0</v>
      </c>
      <c r="T783" s="3">
        <v>0</v>
      </c>
      <c r="U783" s="21">
        <v>200000</v>
      </c>
    </row>
    <row r="784" spans="1:22" ht="20.100000000000001" customHeight="1">
      <c r="A784" s="19" t="s">
        <v>1177</v>
      </c>
      <c r="B784" s="24" t="s">
        <v>1525</v>
      </c>
      <c r="C784" s="1">
        <f t="shared" si="201"/>
        <v>20890439</v>
      </c>
      <c r="D784" s="21">
        <f t="shared" si="206"/>
        <v>0</v>
      </c>
      <c r="E784" s="21">
        <v>0</v>
      </c>
      <c r="F784" s="21">
        <v>0</v>
      </c>
      <c r="G784" s="21">
        <v>0</v>
      </c>
      <c r="H784" s="21">
        <v>0</v>
      </c>
      <c r="I784" s="21">
        <v>0</v>
      </c>
      <c r="J784" s="21">
        <v>0</v>
      </c>
      <c r="K784" s="40">
        <v>0</v>
      </c>
      <c r="L784" s="21">
        <v>0</v>
      </c>
      <c r="M784" s="21">
        <v>3137.2</v>
      </c>
      <c r="N784" s="23">
        <f>M784*5300</f>
        <v>16627159.999999998</v>
      </c>
      <c r="O784" s="21">
        <v>0</v>
      </c>
      <c r="P784" s="21">
        <v>0</v>
      </c>
      <c r="Q784" s="21">
        <v>1559.8</v>
      </c>
      <c r="R784" s="21">
        <f>Q784*2605</f>
        <v>4063279</v>
      </c>
      <c r="S784" s="21">
        <v>0</v>
      </c>
      <c r="T784" s="3">
        <v>0</v>
      </c>
      <c r="U784" s="21">
        <v>200000</v>
      </c>
    </row>
    <row r="785" spans="1:22" ht="20.100000000000001" customHeight="1">
      <c r="A785" s="19" t="s">
        <v>1178</v>
      </c>
      <c r="B785" s="24" t="s">
        <v>11</v>
      </c>
      <c r="C785" s="1">
        <f t="shared" si="201"/>
        <v>2483282.5</v>
      </c>
      <c r="D785" s="21">
        <f t="shared" si="206"/>
        <v>0</v>
      </c>
      <c r="E785" s="21">
        <v>0</v>
      </c>
      <c r="F785" s="21">
        <v>0</v>
      </c>
      <c r="G785" s="21">
        <v>0</v>
      </c>
      <c r="H785" s="21">
        <v>0</v>
      </c>
      <c r="I785" s="21">
        <v>0</v>
      </c>
      <c r="J785" s="21">
        <v>0</v>
      </c>
      <c r="K785" s="40">
        <v>0</v>
      </c>
      <c r="L785" s="21">
        <v>0</v>
      </c>
      <c r="M785" s="21">
        <v>0</v>
      </c>
      <c r="N785" s="23">
        <v>0</v>
      </c>
      <c r="O785" s="21">
        <v>0</v>
      </c>
      <c r="P785" s="21">
        <v>0</v>
      </c>
      <c r="Q785" s="21">
        <v>876.5</v>
      </c>
      <c r="R785" s="21">
        <v>2283282.5</v>
      </c>
      <c r="S785" s="21">
        <v>0</v>
      </c>
      <c r="T785" s="3">
        <v>0</v>
      </c>
      <c r="U785" s="21">
        <v>200000</v>
      </c>
    </row>
    <row r="786" spans="1:22" ht="20.100000000000001" customHeight="1">
      <c r="A786" s="19" t="s">
        <v>1179</v>
      </c>
      <c r="B786" s="22" t="s">
        <v>61</v>
      </c>
      <c r="C786" s="1">
        <f t="shared" si="201"/>
        <v>3154820</v>
      </c>
      <c r="D786" s="21">
        <f t="shared" si="206"/>
        <v>0</v>
      </c>
      <c r="E786" s="21">
        <v>0</v>
      </c>
      <c r="F786" s="21">
        <v>0</v>
      </c>
      <c r="G786" s="21">
        <v>0</v>
      </c>
      <c r="H786" s="21">
        <v>0</v>
      </c>
      <c r="I786" s="21">
        <v>0</v>
      </c>
      <c r="J786" s="21">
        <v>0</v>
      </c>
      <c r="K786" s="40">
        <v>0</v>
      </c>
      <c r="L786" s="21">
        <v>0</v>
      </c>
      <c r="M786" s="21">
        <v>895.4</v>
      </c>
      <c r="N786" s="23">
        <v>2954820</v>
      </c>
      <c r="O786" s="21">
        <v>0</v>
      </c>
      <c r="P786" s="21">
        <v>0</v>
      </c>
      <c r="Q786" s="21">
        <v>0</v>
      </c>
      <c r="R786" s="21">
        <v>0</v>
      </c>
      <c r="S786" s="21">
        <v>0</v>
      </c>
      <c r="T786" s="3">
        <v>0</v>
      </c>
      <c r="U786" s="21">
        <v>200000</v>
      </c>
    </row>
    <row r="787" spans="1:22" ht="20.100000000000001" customHeight="1">
      <c r="A787" s="19" t="s">
        <v>1180</v>
      </c>
      <c r="B787" s="34" t="s">
        <v>64</v>
      </c>
      <c r="C787" s="1">
        <f t="shared" si="201"/>
        <v>5289590</v>
      </c>
      <c r="D787" s="21">
        <f t="shared" si="206"/>
        <v>0</v>
      </c>
      <c r="E787" s="21">
        <v>0</v>
      </c>
      <c r="F787" s="21">
        <v>0</v>
      </c>
      <c r="G787" s="21">
        <v>0</v>
      </c>
      <c r="H787" s="21">
        <v>0</v>
      </c>
      <c r="I787" s="21">
        <v>0</v>
      </c>
      <c r="J787" s="21">
        <v>0</v>
      </c>
      <c r="K787" s="40">
        <v>0</v>
      </c>
      <c r="L787" s="21">
        <v>0</v>
      </c>
      <c r="M787" s="21">
        <v>960.3</v>
      </c>
      <c r="N787" s="23">
        <v>5089590</v>
      </c>
      <c r="O787" s="21">
        <v>0</v>
      </c>
      <c r="P787" s="21">
        <v>0</v>
      </c>
      <c r="Q787" s="21">
        <v>0</v>
      </c>
      <c r="R787" s="21">
        <v>0</v>
      </c>
      <c r="S787" s="21">
        <v>0</v>
      </c>
      <c r="T787" s="3">
        <v>0</v>
      </c>
      <c r="U787" s="21">
        <v>200000</v>
      </c>
    </row>
    <row r="788" spans="1:22" ht="20.100000000000001" customHeight="1">
      <c r="A788" s="19" t="s">
        <v>1181</v>
      </c>
      <c r="B788" s="27" t="s">
        <v>65</v>
      </c>
      <c r="C788" s="1">
        <f t="shared" si="201"/>
        <v>3569300</v>
      </c>
      <c r="D788" s="21">
        <f t="shared" si="206"/>
        <v>0</v>
      </c>
      <c r="E788" s="21">
        <v>0</v>
      </c>
      <c r="F788" s="21">
        <v>0</v>
      </c>
      <c r="G788" s="21">
        <v>0</v>
      </c>
      <c r="H788" s="21">
        <v>0</v>
      </c>
      <c r="I788" s="21">
        <v>0</v>
      </c>
      <c r="J788" s="21">
        <v>0</v>
      </c>
      <c r="K788" s="40">
        <v>0</v>
      </c>
      <c r="L788" s="21">
        <v>0</v>
      </c>
      <c r="M788" s="21">
        <v>1021</v>
      </c>
      <c r="N788" s="23">
        <v>3369300</v>
      </c>
      <c r="O788" s="21">
        <v>0</v>
      </c>
      <c r="P788" s="21">
        <v>0</v>
      </c>
      <c r="Q788" s="21">
        <v>0</v>
      </c>
      <c r="R788" s="21">
        <v>0</v>
      </c>
      <c r="S788" s="21">
        <v>0</v>
      </c>
      <c r="T788" s="3">
        <v>0</v>
      </c>
      <c r="U788" s="21">
        <v>200000</v>
      </c>
    </row>
    <row r="789" spans="1:22" ht="20.100000000000001" customHeight="1">
      <c r="A789" s="19" t="s">
        <v>1182</v>
      </c>
      <c r="B789" s="24" t="s">
        <v>35</v>
      </c>
      <c r="C789" s="1">
        <f t="shared" si="201"/>
        <v>23685590.5</v>
      </c>
      <c r="D789" s="21">
        <f t="shared" si="206"/>
        <v>8751742</v>
      </c>
      <c r="E789" s="21">
        <f>350*4606.18</f>
        <v>1612163</v>
      </c>
      <c r="F789" s="21">
        <f>800*4606.18</f>
        <v>3684944</v>
      </c>
      <c r="G789" s="21">
        <f>350*4606.18</f>
        <v>1612163</v>
      </c>
      <c r="H789" s="21">
        <f>500*0</f>
        <v>0</v>
      </c>
      <c r="I789" s="21">
        <f>400*4606.18</f>
        <v>1842472</v>
      </c>
      <c r="J789" s="21">
        <v>0</v>
      </c>
      <c r="K789" s="40">
        <v>0</v>
      </c>
      <c r="L789" s="21">
        <v>0</v>
      </c>
      <c r="M789" s="21">
        <v>2057.6</v>
      </c>
      <c r="N789" s="23">
        <v>10905280</v>
      </c>
      <c r="O789" s="21">
        <v>0</v>
      </c>
      <c r="P789" s="21">
        <v>0</v>
      </c>
      <c r="Q789" s="21">
        <v>1469.7</v>
      </c>
      <c r="R789" s="21">
        <v>3828568.5</v>
      </c>
      <c r="S789" s="21">
        <v>0</v>
      </c>
      <c r="T789" s="3">
        <v>0</v>
      </c>
      <c r="U789" s="21">
        <v>200000</v>
      </c>
    </row>
    <row r="790" spans="1:22" ht="20.100000000000001" customHeight="1">
      <c r="A790" s="19" t="s">
        <v>1183</v>
      </c>
      <c r="B790" s="24" t="s">
        <v>68</v>
      </c>
      <c r="C790" s="1">
        <f t="shared" si="201"/>
        <v>3472220</v>
      </c>
      <c r="D790" s="21">
        <f t="shared" si="206"/>
        <v>0</v>
      </c>
      <c r="E790" s="21">
        <v>0</v>
      </c>
      <c r="F790" s="21">
        <v>0</v>
      </c>
      <c r="G790" s="21">
        <v>0</v>
      </c>
      <c r="H790" s="21">
        <v>0</v>
      </c>
      <c r="I790" s="21">
        <v>0</v>
      </c>
      <c r="J790" s="21">
        <v>0</v>
      </c>
      <c r="K790" s="40">
        <v>0</v>
      </c>
      <c r="L790" s="21">
        <v>0</v>
      </c>
      <c r="M790" s="21">
        <v>617.4</v>
      </c>
      <c r="N790" s="23">
        <v>3272220</v>
      </c>
      <c r="O790" s="21">
        <v>0</v>
      </c>
      <c r="P790" s="21">
        <v>0</v>
      </c>
      <c r="Q790" s="21">
        <v>0</v>
      </c>
      <c r="R790" s="21">
        <v>0</v>
      </c>
      <c r="S790" s="21">
        <v>0</v>
      </c>
      <c r="T790" s="3">
        <v>0</v>
      </c>
      <c r="U790" s="21">
        <v>200000</v>
      </c>
    </row>
    <row r="791" spans="1:22" ht="20.100000000000001" customHeight="1">
      <c r="A791" s="19" t="s">
        <v>1184</v>
      </c>
      <c r="B791" s="24" t="s">
        <v>1523</v>
      </c>
      <c r="C791" s="1">
        <f t="shared" si="201"/>
        <v>4270400</v>
      </c>
      <c r="D791" s="21">
        <f t="shared" si="206"/>
        <v>0</v>
      </c>
      <c r="E791" s="21">
        <v>0</v>
      </c>
      <c r="F791" s="21">
        <v>0</v>
      </c>
      <c r="G791" s="21">
        <v>0</v>
      </c>
      <c r="H791" s="21">
        <v>0</v>
      </c>
      <c r="I791" s="21">
        <v>0</v>
      </c>
      <c r="J791" s="21">
        <v>0</v>
      </c>
      <c r="K791" s="40">
        <v>0</v>
      </c>
      <c r="L791" s="21">
        <v>0</v>
      </c>
      <c r="M791" s="21">
        <v>768</v>
      </c>
      <c r="N791" s="23">
        <f>M791*5300</f>
        <v>4070400</v>
      </c>
      <c r="O791" s="21">
        <v>0</v>
      </c>
      <c r="P791" s="21">
        <v>0</v>
      </c>
      <c r="Q791" s="21">
        <v>0</v>
      </c>
      <c r="R791" s="21">
        <v>0</v>
      </c>
      <c r="S791" s="21">
        <v>0</v>
      </c>
      <c r="T791" s="3">
        <v>0</v>
      </c>
      <c r="U791" s="21">
        <v>200000</v>
      </c>
    </row>
    <row r="792" spans="1:22" ht="20.100000000000001" customHeight="1">
      <c r="A792" s="19" t="s">
        <v>1185</v>
      </c>
      <c r="B792" s="24" t="s">
        <v>69</v>
      </c>
      <c r="C792" s="1">
        <f t="shared" si="201"/>
        <v>2556695</v>
      </c>
      <c r="D792" s="21">
        <f t="shared" si="206"/>
        <v>0</v>
      </c>
      <c r="E792" s="21">
        <v>0</v>
      </c>
      <c r="F792" s="21">
        <v>0</v>
      </c>
      <c r="G792" s="21">
        <v>0</v>
      </c>
      <c r="H792" s="21">
        <v>0</v>
      </c>
      <c r="I792" s="21">
        <v>0</v>
      </c>
      <c r="J792" s="21">
        <v>0</v>
      </c>
      <c r="K792" s="40">
        <v>0</v>
      </c>
      <c r="L792" s="21">
        <v>0</v>
      </c>
      <c r="M792" s="21">
        <v>714.15</v>
      </c>
      <c r="N792" s="23">
        <v>2356695</v>
      </c>
      <c r="O792" s="21">
        <v>0</v>
      </c>
      <c r="P792" s="21">
        <v>0</v>
      </c>
      <c r="Q792" s="21">
        <v>0</v>
      </c>
      <c r="R792" s="21">
        <v>0</v>
      </c>
      <c r="S792" s="21">
        <v>0</v>
      </c>
      <c r="T792" s="3">
        <v>0</v>
      </c>
      <c r="U792" s="21">
        <v>200000</v>
      </c>
    </row>
    <row r="793" spans="1:22" ht="20.100000000000001" customHeight="1">
      <c r="A793" s="19" t="s">
        <v>1186</v>
      </c>
      <c r="B793" s="24" t="s">
        <v>70</v>
      </c>
      <c r="C793" s="1">
        <f t="shared" si="201"/>
        <v>2274743</v>
      </c>
      <c r="D793" s="21">
        <f t="shared" si="206"/>
        <v>2074743</v>
      </c>
      <c r="E793" s="21">
        <f>350*1091.97</f>
        <v>382189.5</v>
      </c>
      <c r="F793" s="21">
        <f>800*1091.97</f>
        <v>873576</v>
      </c>
      <c r="G793" s="21">
        <f>350*1091.97</f>
        <v>382189.5</v>
      </c>
      <c r="H793" s="21">
        <f>500*0</f>
        <v>0</v>
      </c>
      <c r="I793" s="21">
        <f>400*1091.97</f>
        <v>436788</v>
      </c>
      <c r="J793" s="21">
        <v>0</v>
      </c>
      <c r="K793" s="40">
        <v>0</v>
      </c>
      <c r="L793" s="21">
        <v>0</v>
      </c>
      <c r="M793" s="21">
        <v>0</v>
      </c>
      <c r="N793" s="23">
        <v>0</v>
      </c>
      <c r="O793" s="21">
        <v>0</v>
      </c>
      <c r="P793" s="21">
        <v>0</v>
      </c>
      <c r="Q793" s="21">
        <v>0</v>
      </c>
      <c r="R793" s="21">
        <v>0</v>
      </c>
      <c r="S793" s="21">
        <v>0</v>
      </c>
      <c r="T793" s="3">
        <v>0</v>
      </c>
      <c r="U793" s="21">
        <v>200000</v>
      </c>
    </row>
    <row r="794" spans="1:22" ht="20.100000000000001" customHeight="1">
      <c r="A794" s="19" t="s">
        <v>1187</v>
      </c>
      <c r="B794" s="24" t="s">
        <v>71</v>
      </c>
      <c r="C794" s="1">
        <f t="shared" si="201"/>
        <v>3426317</v>
      </c>
      <c r="D794" s="21">
        <f t="shared" si="206"/>
        <v>607057</v>
      </c>
      <c r="E794" s="21">
        <f>350*551.87</f>
        <v>193154.5</v>
      </c>
      <c r="F794" s="21">
        <f>800*0</f>
        <v>0</v>
      </c>
      <c r="G794" s="21">
        <f>350*551.87</f>
        <v>193154.5</v>
      </c>
      <c r="H794" s="21">
        <f>500*0</f>
        <v>0</v>
      </c>
      <c r="I794" s="21">
        <f>400*551.87</f>
        <v>220748</v>
      </c>
      <c r="J794" s="21">
        <v>0</v>
      </c>
      <c r="K794" s="40">
        <v>0</v>
      </c>
      <c r="L794" s="21">
        <v>0</v>
      </c>
      <c r="M794" s="21">
        <v>494.2</v>
      </c>
      <c r="N794" s="23">
        <v>2619260</v>
      </c>
      <c r="O794" s="21">
        <v>0</v>
      </c>
      <c r="P794" s="21">
        <v>0</v>
      </c>
      <c r="Q794" s="21">
        <v>0</v>
      </c>
      <c r="R794" s="21">
        <v>0</v>
      </c>
      <c r="S794" s="21">
        <v>0</v>
      </c>
      <c r="T794" s="3">
        <v>0</v>
      </c>
      <c r="U794" s="21">
        <v>200000</v>
      </c>
    </row>
    <row r="795" spans="1:22" ht="20.100000000000001" customHeight="1">
      <c r="A795" s="19" t="s">
        <v>1188</v>
      </c>
      <c r="B795" s="24" t="s">
        <v>72</v>
      </c>
      <c r="C795" s="1">
        <f t="shared" si="201"/>
        <v>1600790</v>
      </c>
      <c r="D795" s="21">
        <f t="shared" si="206"/>
        <v>0</v>
      </c>
      <c r="E795" s="21">
        <v>0</v>
      </c>
      <c r="F795" s="21">
        <v>0</v>
      </c>
      <c r="G795" s="21">
        <v>0</v>
      </c>
      <c r="H795" s="21">
        <v>0</v>
      </c>
      <c r="I795" s="21">
        <v>0</v>
      </c>
      <c r="J795" s="21">
        <v>0</v>
      </c>
      <c r="K795" s="40">
        <v>0</v>
      </c>
      <c r="L795" s="21">
        <v>0</v>
      </c>
      <c r="M795" s="21">
        <v>264.3</v>
      </c>
      <c r="N795" s="23">
        <v>1400790</v>
      </c>
      <c r="O795" s="21">
        <v>0</v>
      </c>
      <c r="P795" s="21">
        <v>0</v>
      </c>
      <c r="Q795" s="21">
        <v>0</v>
      </c>
      <c r="R795" s="21">
        <v>0</v>
      </c>
      <c r="S795" s="21">
        <v>0</v>
      </c>
      <c r="T795" s="3">
        <v>0</v>
      </c>
      <c r="U795" s="21">
        <v>200000</v>
      </c>
    </row>
    <row r="796" spans="1:22" ht="20.100000000000001" customHeight="1">
      <c r="A796" s="19" t="s">
        <v>1189</v>
      </c>
      <c r="B796" s="24" t="s">
        <v>73</v>
      </c>
      <c r="C796" s="1">
        <f t="shared" si="201"/>
        <v>1654320</v>
      </c>
      <c r="D796" s="21">
        <f t="shared" si="206"/>
        <v>0</v>
      </c>
      <c r="E796" s="21">
        <v>0</v>
      </c>
      <c r="F796" s="21">
        <v>0</v>
      </c>
      <c r="G796" s="21">
        <v>0</v>
      </c>
      <c r="H796" s="21">
        <v>0</v>
      </c>
      <c r="I796" s="21">
        <v>0</v>
      </c>
      <c r="J796" s="21">
        <v>0</v>
      </c>
      <c r="K796" s="40">
        <v>0</v>
      </c>
      <c r="L796" s="21">
        <v>0</v>
      </c>
      <c r="M796" s="21">
        <v>274.39999999999998</v>
      </c>
      <c r="N796" s="23">
        <v>1454320</v>
      </c>
      <c r="O796" s="21">
        <v>0</v>
      </c>
      <c r="P796" s="21">
        <v>0</v>
      </c>
      <c r="Q796" s="21">
        <v>0</v>
      </c>
      <c r="R796" s="21">
        <v>0</v>
      </c>
      <c r="S796" s="21">
        <v>0</v>
      </c>
      <c r="T796" s="3">
        <v>0</v>
      </c>
      <c r="U796" s="21">
        <v>200000</v>
      </c>
    </row>
    <row r="797" spans="1:22" ht="20.100000000000001" customHeight="1">
      <c r="A797" s="19" t="s">
        <v>1190</v>
      </c>
      <c r="B797" s="24" t="s">
        <v>74</v>
      </c>
      <c r="C797" s="1">
        <f t="shared" si="201"/>
        <v>1611019</v>
      </c>
      <c r="D797" s="21">
        <f t="shared" si="206"/>
        <v>0</v>
      </c>
      <c r="E797" s="21">
        <v>0</v>
      </c>
      <c r="F797" s="21">
        <v>0</v>
      </c>
      <c r="G797" s="21">
        <v>0</v>
      </c>
      <c r="H797" s="21">
        <v>0</v>
      </c>
      <c r="I797" s="21">
        <v>0</v>
      </c>
      <c r="J797" s="21">
        <v>0</v>
      </c>
      <c r="K797" s="40">
        <v>0</v>
      </c>
      <c r="L797" s="21">
        <v>0</v>
      </c>
      <c r="M797" s="21">
        <v>266.23</v>
      </c>
      <c r="N797" s="23">
        <v>1411019</v>
      </c>
      <c r="O797" s="21">
        <v>0</v>
      </c>
      <c r="P797" s="21">
        <v>0</v>
      </c>
      <c r="Q797" s="21">
        <v>0</v>
      </c>
      <c r="R797" s="21">
        <v>0</v>
      </c>
      <c r="S797" s="21">
        <v>0</v>
      </c>
      <c r="T797" s="3">
        <v>0</v>
      </c>
      <c r="U797" s="21">
        <v>200000</v>
      </c>
    </row>
    <row r="798" spans="1:22" ht="20.100000000000001" customHeight="1">
      <c r="A798" s="19" t="s">
        <v>1953</v>
      </c>
      <c r="B798" s="24" t="s">
        <v>1341</v>
      </c>
      <c r="C798" s="1">
        <f t="shared" si="201"/>
        <v>6624236</v>
      </c>
      <c r="D798" s="21">
        <f t="shared" si="206"/>
        <v>0</v>
      </c>
      <c r="E798" s="21">
        <v>0</v>
      </c>
      <c r="F798" s="21">
        <v>0</v>
      </c>
      <c r="G798" s="21">
        <v>0</v>
      </c>
      <c r="H798" s="21">
        <v>0</v>
      </c>
      <c r="I798" s="21">
        <v>0</v>
      </c>
      <c r="J798" s="21">
        <v>0</v>
      </c>
      <c r="K798" s="40">
        <v>0</v>
      </c>
      <c r="L798" s="21">
        <v>0</v>
      </c>
      <c r="M798" s="21">
        <v>1212.1199999999999</v>
      </c>
      <c r="N798" s="23">
        <v>6424236</v>
      </c>
      <c r="O798" s="21">
        <v>0</v>
      </c>
      <c r="P798" s="21">
        <v>0</v>
      </c>
      <c r="Q798" s="21">
        <v>0</v>
      </c>
      <c r="R798" s="21">
        <v>0</v>
      </c>
      <c r="S798" s="21">
        <v>0</v>
      </c>
      <c r="T798" s="3">
        <v>0</v>
      </c>
      <c r="U798" s="21">
        <v>200000</v>
      </c>
    </row>
    <row r="799" spans="1:22" ht="45" customHeight="1">
      <c r="A799" s="55" t="s">
        <v>28</v>
      </c>
      <c r="B799" s="55"/>
      <c r="C799" s="1">
        <f t="shared" si="201"/>
        <v>6492854</v>
      </c>
      <c r="D799" s="1">
        <f t="shared" ref="D799:U799" si="207">SUM(D800:D801)</f>
        <v>293104</v>
      </c>
      <c r="E799" s="1">
        <f t="shared" si="207"/>
        <v>293104</v>
      </c>
      <c r="F799" s="1">
        <f t="shared" si="207"/>
        <v>0</v>
      </c>
      <c r="G799" s="1">
        <f t="shared" si="207"/>
        <v>0</v>
      </c>
      <c r="H799" s="1">
        <f t="shared" si="207"/>
        <v>0</v>
      </c>
      <c r="I799" s="1">
        <f t="shared" si="207"/>
        <v>0</v>
      </c>
      <c r="J799" s="1">
        <f t="shared" si="207"/>
        <v>0</v>
      </c>
      <c r="K799" s="42">
        <f t="shared" si="207"/>
        <v>0</v>
      </c>
      <c r="L799" s="1">
        <f t="shared" si="207"/>
        <v>0</v>
      </c>
      <c r="M799" s="1">
        <f t="shared" si="207"/>
        <v>746</v>
      </c>
      <c r="N799" s="1">
        <f t="shared" si="207"/>
        <v>3800800</v>
      </c>
      <c r="O799" s="1">
        <f t="shared" si="207"/>
        <v>0</v>
      </c>
      <c r="P799" s="1">
        <f t="shared" si="207"/>
        <v>0</v>
      </c>
      <c r="Q799" s="1">
        <f t="shared" si="207"/>
        <v>506</v>
      </c>
      <c r="R799" s="1">
        <f t="shared" si="207"/>
        <v>1318130</v>
      </c>
      <c r="S799" s="1">
        <f t="shared" si="207"/>
        <v>680820</v>
      </c>
      <c r="T799" s="1">
        <f t="shared" si="207"/>
        <v>0</v>
      </c>
      <c r="U799" s="1">
        <f t="shared" si="207"/>
        <v>400000</v>
      </c>
      <c r="V799" s="13">
        <f>C799</f>
        <v>6492854</v>
      </c>
    </row>
    <row r="800" spans="1:22" ht="21.95" customHeight="1">
      <c r="A800" s="19" t="s">
        <v>1191</v>
      </c>
      <c r="B800" s="24" t="s">
        <v>29</v>
      </c>
      <c r="C800" s="1">
        <f t="shared" si="201"/>
        <v>1775847.5</v>
      </c>
      <c r="D800" s="21">
        <f t="shared" ref="D800:D801" si="208">SUM(E800:J800)</f>
        <v>107047.50000000001</v>
      </c>
      <c r="E800" s="21">
        <f>350*305.85</f>
        <v>107047.50000000001</v>
      </c>
      <c r="F800" s="21">
        <f>800*0</f>
        <v>0</v>
      </c>
      <c r="G800" s="21">
        <f>350*0</f>
        <v>0</v>
      </c>
      <c r="H800" s="21">
        <f>500*0</f>
        <v>0</v>
      </c>
      <c r="I800" s="21">
        <f>400*0</f>
        <v>0</v>
      </c>
      <c r="J800" s="21">
        <v>0</v>
      </c>
      <c r="K800" s="40">
        <v>0</v>
      </c>
      <c r="L800" s="21">
        <v>0</v>
      </c>
      <c r="M800" s="21">
        <v>306</v>
      </c>
      <c r="N800" s="23">
        <v>1468800</v>
      </c>
      <c r="O800" s="21">
        <v>0</v>
      </c>
      <c r="P800" s="21">
        <v>0</v>
      </c>
      <c r="Q800" s="21">
        <v>0</v>
      </c>
      <c r="R800" s="21">
        <v>0</v>
      </c>
      <c r="S800" s="21">
        <v>0</v>
      </c>
      <c r="T800" s="21">
        <v>0</v>
      </c>
      <c r="U800" s="21">
        <v>200000</v>
      </c>
    </row>
    <row r="801" spans="1:258" ht="21.95" customHeight="1">
      <c r="A801" s="19" t="s">
        <v>1192</v>
      </c>
      <c r="B801" s="24" t="s">
        <v>1526</v>
      </c>
      <c r="C801" s="1">
        <f t="shared" si="201"/>
        <v>4717006.5</v>
      </c>
      <c r="D801" s="21">
        <f t="shared" si="208"/>
        <v>186056.5</v>
      </c>
      <c r="E801" s="21">
        <f>350*531.59</f>
        <v>186056.5</v>
      </c>
      <c r="F801" s="21">
        <f>800*0</f>
        <v>0</v>
      </c>
      <c r="G801" s="21">
        <f>350*0</f>
        <v>0</v>
      </c>
      <c r="H801" s="21">
        <f>500*0</f>
        <v>0</v>
      </c>
      <c r="I801" s="21">
        <f>400*0</f>
        <v>0</v>
      </c>
      <c r="J801" s="21">
        <v>0</v>
      </c>
      <c r="K801" s="40">
        <v>0</v>
      </c>
      <c r="L801" s="21">
        <v>0</v>
      </c>
      <c r="M801" s="21">
        <v>440</v>
      </c>
      <c r="N801" s="23">
        <f>M801*5300</f>
        <v>2332000</v>
      </c>
      <c r="O801" s="21">
        <v>0</v>
      </c>
      <c r="P801" s="21">
        <v>0</v>
      </c>
      <c r="Q801" s="21">
        <v>506</v>
      </c>
      <c r="R801" s="21">
        <f>Q801*2605</f>
        <v>1318130</v>
      </c>
      <c r="S801" s="21">
        <v>680820</v>
      </c>
      <c r="T801" s="21">
        <v>0</v>
      </c>
      <c r="U801" s="21">
        <v>200000</v>
      </c>
    </row>
    <row r="802" spans="1:258" ht="45" customHeight="1">
      <c r="A802" s="55" t="s">
        <v>78</v>
      </c>
      <c r="B802" s="55"/>
      <c r="C802" s="1">
        <f t="shared" si="201"/>
        <v>14025504.949999999</v>
      </c>
      <c r="D802" s="1">
        <f t="shared" ref="D802:U802" si="209">SUM(D803:D805)</f>
        <v>0</v>
      </c>
      <c r="E802" s="1">
        <f t="shared" si="209"/>
        <v>0</v>
      </c>
      <c r="F802" s="1">
        <f t="shared" si="209"/>
        <v>0</v>
      </c>
      <c r="G802" s="1">
        <f t="shared" si="209"/>
        <v>0</v>
      </c>
      <c r="H802" s="1">
        <f t="shared" si="209"/>
        <v>0</v>
      </c>
      <c r="I802" s="1">
        <f t="shared" si="209"/>
        <v>0</v>
      </c>
      <c r="J802" s="1">
        <f t="shared" si="209"/>
        <v>0</v>
      </c>
      <c r="K802" s="42">
        <f t="shared" si="209"/>
        <v>0</v>
      </c>
      <c r="L802" s="1">
        <f t="shared" si="209"/>
        <v>0</v>
      </c>
      <c r="M802" s="1">
        <f t="shared" si="209"/>
        <v>1091.1500000000001</v>
      </c>
      <c r="N802" s="1">
        <f t="shared" si="209"/>
        <v>5450520</v>
      </c>
      <c r="O802" s="1">
        <f t="shared" si="209"/>
        <v>0</v>
      </c>
      <c r="P802" s="1">
        <f t="shared" si="209"/>
        <v>0</v>
      </c>
      <c r="Q802" s="1">
        <f t="shared" si="209"/>
        <v>3138.19</v>
      </c>
      <c r="R802" s="1">
        <f t="shared" si="209"/>
        <v>8174984.9500000002</v>
      </c>
      <c r="S802" s="1">
        <f t="shared" si="209"/>
        <v>0</v>
      </c>
      <c r="T802" s="1">
        <f t="shared" si="209"/>
        <v>0</v>
      </c>
      <c r="U802" s="1">
        <f t="shared" si="209"/>
        <v>400000</v>
      </c>
    </row>
    <row r="803" spans="1:258" ht="21.95" customHeight="1">
      <c r="A803" s="17" t="s">
        <v>1193</v>
      </c>
      <c r="B803" s="24" t="s">
        <v>1337</v>
      </c>
      <c r="C803" s="1">
        <f t="shared" si="201"/>
        <v>8174984.9500000002</v>
      </c>
      <c r="D803" s="21">
        <f t="shared" ref="D803:D805" si="210">SUM(E803:J803)</f>
        <v>0</v>
      </c>
      <c r="E803" s="21">
        <v>0</v>
      </c>
      <c r="F803" s="21">
        <v>0</v>
      </c>
      <c r="G803" s="21">
        <v>0</v>
      </c>
      <c r="H803" s="21">
        <v>0</v>
      </c>
      <c r="I803" s="21">
        <v>0</v>
      </c>
      <c r="J803" s="21">
        <v>0</v>
      </c>
      <c r="K803" s="5">
        <v>0</v>
      </c>
      <c r="L803" s="3">
        <v>0</v>
      </c>
      <c r="M803" s="3">
        <v>0</v>
      </c>
      <c r="N803" s="3">
        <v>0</v>
      </c>
      <c r="O803" s="3">
        <v>0</v>
      </c>
      <c r="P803" s="3">
        <v>0</v>
      </c>
      <c r="Q803" s="3">
        <v>3138.19</v>
      </c>
      <c r="R803" s="3">
        <v>8174984.9500000002</v>
      </c>
      <c r="S803" s="3">
        <v>0</v>
      </c>
      <c r="T803" s="3">
        <v>0</v>
      </c>
      <c r="U803" s="3">
        <v>0</v>
      </c>
    </row>
    <row r="804" spans="1:258" s="12" customFormat="1" ht="21.95" customHeight="1">
      <c r="A804" s="17" t="s">
        <v>1194</v>
      </c>
      <c r="B804" s="24" t="s">
        <v>75</v>
      </c>
      <c r="C804" s="1">
        <f t="shared" si="201"/>
        <v>3392720</v>
      </c>
      <c r="D804" s="21">
        <f t="shared" si="210"/>
        <v>0</v>
      </c>
      <c r="E804" s="21">
        <v>0</v>
      </c>
      <c r="F804" s="21">
        <v>0</v>
      </c>
      <c r="G804" s="21">
        <v>0</v>
      </c>
      <c r="H804" s="21">
        <v>0</v>
      </c>
      <c r="I804" s="21">
        <v>0</v>
      </c>
      <c r="J804" s="21">
        <v>0</v>
      </c>
      <c r="K804" s="5">
        <v>0</v>
      </c>
      <c r="L804" s="3">
        <v>0</v>
      </c>
      <c r="M804" s="3">
        <v>665.15</v>
      </c>
      <c r="N804" s="3">
        <v>3192720</v>
      </c>
      <c r="O804" s="3">
        <v>0</v>
      </c>
      <c r="P804" s="3">
        <v>0</v>
      </c>
      <c r="Q804" s="3">
        <v>0</v>
      </c>
      <c r="R804" s="3">
        <v>0</v>
      </c>
      <c r="S804" s="3">
        <v>0</v>
      </c>
      <c r="T804" s="3">
        <v>0</v>
      </c>
      <c r="U804" s="3">
        <v>200000</v>
      </c>
      <c r="V804" s="18"/>
    </row>
    <row r="805" spans="1:258" s="12" customFormat="1" ht="21.95" customHeight="1">
      <c r="A805" s="17" t="s">
        <v>1195</v>
      </c>
      <c r="B805" s="24" t="s">
        <v>1516</v>
      </c>
      <c r="C805" s="1">
        <f t="shared" si="201"/>
        <v>2457800</v>
      </c>
      <c r="D805" s="21">
        <f t="shared" si="210"/>
        <v>0</v>
      </c>
      <c r="E805" s="21">
        <v>0</v>
      </c>
      <c r="F805" s="21">
        <v>0</v>
      </c>
      <c r="G805" s="21">
        <v>0</v>
      </c>
      <c r="H805" s="21">
        <v>0</v>
      </c>
      <c r="I805" s="21">
        <v>0</v>
      </c>
      <c r="J805" s="21">
        <v>0</v>
      </c>
      <c r="K805" s="5">
        <v>0</v>
      </c>
      <c r="L805" s="3">
        <v>0</v>
      </c>
      <c r="M805" s="3">
        <v>426</v>
      </c>
      <c r="N805" s="3">
        <f>M805*5300</f>
        <v>2257800</v>
      </c>
      <c r="O805" s="3">
        <v>0</v>
      </c>
      <c r="P805" s="3">
        <v>0</v>
      </c>
      <c r="Q805" s="3">
        <v>0</v>
      </c>
      <c r="R805" s="3">
        <v>0</v>
      </c>
      <c r="S805" s="3">
        <v>0</v>
      </c>
      <c r="T805" s="3">
        <v>0</v>
      </c>
      <c r="U805" s="3">
        <v>200000</v>
      </c>
      <c r="V805" s="18"/>
    </row>
    <row r="806" spans="1:258" ht="45" customHeight="1">
      <c r="A806" s="55" t="s">
        <v>2</v>
      </c>
      <c r="B806" s="55"/>
      <c r="C806" s="1">
        <f t="shared" si="201"/>
        <v>2802320</v>
      </c>
      <c r="D806" s="1">
        <f t="shared" ref="D806:U806" si="211">SUM(D807:D808)</f>
        <v>2402320</v>
      </c>
      <c r="E806" s="1">
        <f t="shared" si="211"/>
        <v>535010</v>
      </c>
      <c r="F806" s="1">
        <f t="shared" si="211"/>
        <v>490639.99999999994</v>
      </c>
      <c r="G806" s="1">
        <f t="shared" si="211"/>
        <v>458580</v>
      </c>
      <c r="H806" s="1">
        <f t="shared" si="211"/>
        <v>306650</v>
      </c>
      <c r="I806" s="1">
        <f t="shared" si="211"/>
        <v>611440</v>
      </c>
      <c r="J806" s="1">
        <f t="shared" si="211"/>
        <v>0</v>
      </c>
      <c r="K806" s="42">
        <f t="shared" si="211"/>
        <v>0</v>
      </c>
      <c r="L806" s="1">
        <f t="shared" si="211"/>
        <v>0</v>
      </c>
      <c r="M806" s="1">
        <f t="shared" si="211"/>
        <v>0</v>
      </c>
      <c r="N806" s="1">
        <f t="shared" si="211"/>
        <v>0</v>
      </c>
      <c r="O806" s="1">
        <f t="shared" si="211"/>
        <v>0</v>
      </c>
      <c r="P806" s="1">
        <f t="shared" si="211"/>
        <v>0</v>
      </c>
      <c r="Q806" s="1">
        <f t="shared" si="211"/>
        <v>0</v>
      </c>
      <c r="R806" s="1">
        <f t="shared" si="211"/>
        <v>0</v>
      </c>
      <c r="S806" s="1">
        <f t="shared" si="211"/>
        <v>0</v>
      </c>
      <c r="T806" s="1">
        <f t="shared" si="211"/>
        <v>0</v>
      </c>
      <c r="U806" s="1">
        <f t="shared" si="211"/>
        <v>400000</v>
      </c>
    </row>
    <row r="807" spans="1:258" s="9" customFormat="1" ht="21.95" customHeight="1">
      <c r="A807" s="17" t="s">
        <v>1196</v>
      </c>
      <c r="B807" s="24" t="s">
        <v>79</v>
      </c>
      <c r="C807" s="1">
        <f t="shared" si="201"/>
        <v>1161065</v>
      </c>
      <c r="D807" s="21">
        <f t="shared" ref="D807:D808" si="212">SUM(E807:J807)</f>
        <v>961065</v>
      </c>
      <c r="E807" s="21">
        <f>350*915.3</f>
        <v>320355</v>
      </c>
      <c r="F807" s="21">
        <f>800*0</f>
        <v>0</v>
      </c>
      <c r="G807" s="21">
        <f>300*915.3</f>
        <v>274590</v>
      </c>
      <c r="H807" s="21">
        <f>500*0</f>
        <v>0</v>
      </c>
      <c r="I807" s="21">
        <f>400*915.3</f>
        <v>366120</v>
      </c>
      <c r="J807" s="21">
        <f>350*0</f>
        <v>0</v>
      </c>
      <c r="K807" s="40">
        <v>0</v>
      </c>
      <c r="L807" s="21">
        <v>0</v>
      </c>
      <c r="M807" s="3">
        <v>0</v>
      </c>
      <c r="N807" s="3">
        <v>0</v>
      </c>
      <c r="O807" s="21">
        <v>0</v>
      </c>
      <c r="P807" s="21">
        <v>0</v>
      </c>
      <c r="Q807" s="21">
        <v>0</v>
      </c>
      <c r="R807" s="21">
        <v>0</v>
      </c>
      <c r="S807" s="21">
        <v>0</v>
      </c>
      <c r="T807" s="21">
        <v>0</v>
      </c>
      <c r="U807" s="21">
        <v>200000</v>
      </c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  <c r="FE807" s="2"/>
      <c r="FF807" s="2"/>
      <c r="FG807" s="2"/>
      <c r="FH807" s="2"/>
      <c r="FI807" s="2"/>
      <c r="FJ807" s="2"/>
      <c r="FK807" s="2"/>
      <c r="FL807" s="2"/>
      <c r="FM807" s="2"/>
      <c r="FN807" s="2"/>
      <c r="FO807" s="2"/>
      <c r="FP807" s="2"/>
      <c r="FQ807" s="2"/>
      <c r="FR807" s="2"/>
      <c r="FS807" s="2"/>
      <c r="FT807" s="2"/>
      <c r="FU807" s="2"/>
      <c r="FV807" s="2"/>
      <c r="FW807" s="2"/>
      <c r="FX807" s="2"/>
      <c r="FY807" s="2"/>
      <c r="FZ807" s="2"/>
      <c r="GA807" s="2"/>
      <c r="GB807" s="2"/>
      <c r="GC807" s="2"/>
      <c r="GD807" s="2"/>
      <c r="GE807" s="2"/>
      <c r="GF807" s="2"/>
      <c r="GG807" s="2"/>
      <c r="GH807" s="2"/>
      <c r="GI807" s="2"/>
      <c r="GJ807" s="2"/>
      <c r="GK807" s="2"/>
      <c r="GL807" s="2"/>
      <c r="GM807" s="2"/>
      <c r="GN807" s="2"/>
      <c r="GO807" s="2"/>
      <c r="GP807" s="2"/>
      <c r="GQ807" s="2"/>
      <c r="GR807" s="2"/>
      <c r="GS807" s="2"/>
      <c r="GT807" s="2"/>
      <c r="GU807" s="2"/>
      <c r="GV807" s="2"/>
      <c r="GW807" s="2"/>
      <c r="GX807" s="2"/>
      <c r="GY807" s="2"/>
      <c r="GZ807" s="2"/>
      <c r="HA807" s="2"/>
      <c r="HB807" s="2"/>
      <c r="HC807" s="2"/>
      <c r="HD807" s="2"/>
      <c r="HE807" s="2"/>
      <c r="HF807" s="2"/>
      <c r="HG807" s="2"/>
      <c r="HH807" s="2"/>
      <c r="HI807" s="2"/>
      <c r="HJ807" s="2"/>
      <c r="HK807" s="2"/>
      <c r="HL807" s="2"/>
      <c r="HM807" s="2"/>
      <c r="HN807" s="2"/>
      <c r="HO807" s="2"/>
      <c r="HP807" s="2"/>
      <c r="HQ807" s="2"/>
      <c r="HR807" s="2"/>
      <c r="HS807" s="2"/>
      <c r="HT807" s="2"/>
      <c r="HU807" s="2"/>
      <c r="HV807" s="2"/>
      <c r="HW807" s="2"/>
      <c r="HX807" s="2"/>
      <c r="HY807" s="2"/>
      <c r="HZ807" s="2"/>
      <c r="IA807" s="2"/>
      <c r="IB807" s="2"/>
      <c r="IC807" s="2"/>
      <c r="ID807" s="2"/>
      <c r="IE807" s="2"/>
      <c r="IF807" s="2"/>
      <c r="IG807" s="2"/>
      <c r="IH807" s="2"/>
      <c r="II807" s="2"/>
      <c r="IJ807" s="2"/>
      <c r="IK807" s="2"/>
      <c r="IL807" s="2"/>
      <c r="IM807" s="2"/>
      <c r="IN807" s="2"/>
      <c r="IO807" s="2"/>
      <c r="IP807" s="2"/>
      <c r="IQ807" s="2"/>
      <c r="IR807" s="2"/>
      <c r="IS807" s="2"/>
      <c r="IT807" s="2"/>
      <c r="IU807" s="2"/>
      <c r="IV807" s="2"/>
      <c r="IW807" s="2"/>
      <c r="IX807" s="2"/>
    </row>
    <row r="808" spans="1:258" ht="21.95" customHeight="1">
      <c r="A808" s="17" t="s">
        <v>1197</v>
      </c>
      <c r="B808" s="24" t="s">
        <v>80</v>
      </c>
      <c r="C808" s="1">
        <f t="shared" si="201"/>
        <v>1641255</v>
      </c>
      <c r="D808" s="21">
        <f t="shared" si="212"/>
        <v>1441255</v>
      </c>
      <c r="E808" s="21">
        <f>350*613.3</f>
        <v>214654.99999999997</v>
      </c>
      <c r="F808" s="21">
        <f>800*613.3</f>
        <v>490639.99999999994</v>
      </c>
      <c r="G808" s="21">
        <f>300*613.3</f>
        <v>183990</v>
      </c>
      <c r="H808" s="21">
        <f>500*613.3</f>
        <v>306650</v>
      </c>
      <c r="I808" s="21">
        <f>400*613.3</f>
        <v>245319.99999999997</v>
      </c>
      <c r="J808" s="21">
        <f>350*0</f>
        <v>0</v>
      </c>
      <c r="K808" s="5">
        <v>0</v>
      </c>
      <c r="L808" s="3">
        <v>0</v>
      </c>
      <c r="M808" s="3">
        <v>0</v>
      </c>
      <c r="N808" s="3">
        <v>0</v>
      </c>
      <c r="O808" s="3">
        <v>0</v>
      </c>
      <c r="P808" s="3">
        <v>0</v>
      </c>
      <c r="Q808" s="3">
        <v>0</v>
      </c>
      <c r="R808" s="3">
        <v>0</v>
      </c>
      <c r="S808" s="3">
        <v>0</v>
      </c>
      <c r="T808" s="21">
        <v>0</v>
      </c>
      <c r="U808" s="3">
        <v>200000</v>
      </c>
      <c r="V808" s="18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  <c r="AK808" s="12"/>
      <c r="AL808" s="12"/>
      <c r="AM808" s="12"/>
      <c r="AN808" s="12"/>
      <c r="AO808" s="12"/>
      <c r="AP808" s="12"/>
      <c r="AQ808" s="12"/>
      <c r="AR808" s="12"/>
      <c r="AS808" s="12"/>
      <c r="AT808" s="12"/>
      <c r="AU808" s="12"/>
      <c r="AV808" s="12"/>
      <c r="AW808" s="12"/>
      <c r="AX808" s="12"/>
      <c r="AY808" s="12"/>
      <c r="AZ808" s="12"/>
      <c r="BA808" s="12"/>
      <c r="BB808" s="12"/>
      <c r="BC808" s="12"/>
      <c r="BD808" s="12"/>
      <c r="BE808" s="12"/>
      <c r="BF808" s="12"/>
      <c r="BG808" s="12"/>
      <c r="BH808" s="12"/>
      <c r="BI808" s="12"/>
      <c r="BJ808" s="12"/>
      <c r="BK808" s="12"/>
      <c r="BL808" s="12"/>
      <c r="BM808" s="12"/>
      <c r="BN808" s="12"/>
      <c r="BO808" s="12"/>
      <c r="BP808" s="12"/>
      <c r="BQ808" s="12"/>
      <c r="BR808" s="12"/>
      <c r="BS808" s="12"/>
      <c r="BT808" s="12"/>
      <c r="BU808" s="12"/>
      <c r="BV808" s="12"/>
      <c r="BW808" s="12"/>
      <c r="BX808" s="12"/>
      <c r="BY808" s="12"/>
      <c r="BZ808" s="12"/>
      <c r="CA808" s="12"/>
      <c r="CB808" s="12"/>
      <c r="CC808" s="12"/>
      <c r="CD808" s="12"/>
      <c r="CE808" s="12"/>
      <c r="CF808" s="12"/>
      <c r="CG808" s="12"/>
      <c r="CH808" s="12"/>
      <c r="CI808" s="12"/>
      <c r="CJ808" s="12"/>
      <c r="CK808" s="12"/>
      <c r="CL808" s="12"/>
      <c r="CM808" s="12"/>
      <c r="CN808" s="12"/>
      <c r="CO808" s="12"/>
      <c r="CP808" s="12"/>
      <c r="CQ808" s="12"/>
      <c r="CR808" s="12"/>
      <c r="CS808" s="12"/>
      <c r="CT808" s="12"/>
      <c r="CU808" s="12"/>
      <c r="CV808" s="12"/>
      <c r="CW808" s="12"/>
      <c r="CX808" s="12"/>
      <c r="CY808" s="12"/>
      <c r="CZ808" s="12"/>
      <c r="DA808" s="12"/>
      <c r="DB808" s="12"/>
      <c r="DC808" s="12"/>
      <c r="DD808" s="12"/>
      <c r="DE808" s="12"/>
      <c r="DF808" s="12"/>
      <c r="DG808" s="12"/>
      <c r="DH808" s="12"/>
      <c r="DI808" s="12"/>
      <c r="DJ808" s="12"/>
      <c r="DK808" s="12"/>
      <c r="DL808" s="12"/>
      <c r="DM808" s="12"/>
      <c r="DN808" s="12"/>
      <c r="DO808" s="12"/>
      <c r="DP808" s="12"/>
      <c r="DQ808" s="12"/>
      <c r="DR808" s="12"/>
      <c r="DS808" s="12"/>
      <c r="DT808" s="12"/>
      <c r="DU808" s="12"/>
      <c r="DV808" s="12"/>
      <c r="DW808" s="12"/>
      <c r="DX808" s="12"/>
      <c r="DY808" s="12"/>
      <c r="DZ808" s="12"/>
      <c r="EA808" s="12"/>
      <c r="EB808" s="12"/>
      <c r="EC808" s="12"/>
      <c r="ED808" s="12"/>
      <c r="EE808" s="12"/>
      <c r="EF808" s="12"/>
      <c r="EG808" s="12"/>
      <c r="EH808" s="12"/>
      <c r="EI808" s="12"/>
      <c r="EJ808" s="12"/>
      <c r="EK808" s="12"/>
      <c r="EL808" s="12"/>
      <c r="EM808" s="12"/>
      <c r="EN808" s="12"/>
      <c r="EO808" s="12"/>
      <c r="EP808" s="12"/>
      <c r="EQ808" s="12"/>
      <c r="ER808" s="12"/>
      <c r="ES808" s="12"/>
      <c r="ET808" s="12"/>
      <c r="EU808" s="12"/>
      <c r="EV808" s="12"/>
      <c r="EW808" s="12"/>
      <c r="EX808" s="12"/>
      <c r="EY808" s="12"/>
      <c r="EZ808" s="12"/>
      <c r="FA808" s="12"/>
      <c r="FB808" s="12"/>
      <c r="FC808" s="12"/>
      <c r="FD808" s="12"/>
      <c r="FE808" s="12"/>
      <c r="FF808" s="12"/>
      <c r="FG808" s="12"/>
      <c r="FH808" s="12"/>
      <c r="FI808" s="12"/>
      <c r="FJ808" s="12"/>
      <c r="FK808" s="12"/>
      <c r="FL808" s="12"/>
      <c r="FM808" s="12"/>
      <c r="FN808" s="12"/>
      <c r="FO808" s="12"/>
      <c r="FP808" s="12"/>
      <c r="FQ808" s="12"/>
      <c r="FR808" s="12"/>
      <c r="FS808" s="12"/>
      <c r="FT808" s="12"/>
      <c r="FU808" s="12"/>
      <c r="FV808" s="12"/>
      <c r="FW808" s="12"/>
      <c r="FX808" s="12"/>
      <c r="FY808" s="12"/>
      <c r="FZ808" s="12"/>
      <c r="GA808" s="12"/>
      <c r="GB808" s="12"/>
      <c r="GC808" s="12"/>
      <c r="GD808" s="12"/>
      <c r="GE808" s="12"/>
      <c r="GF808" s="12"/>
      <c r="GG808" s="12"/>
      <c r="GH808" s="12"/>
      <c r="GI808" s="12"/>
      <c r="GJ808" s="12"/>
      <c r="GK808" s="12"/>
      <c r="GL808" s="12"/>
      <c r="GM808" s="12"/>
      <c r="GN808" s="12"/>
      <c r="GO808" s="12"/>
      <c r="GP808" s="12"/>
      <c r="GQ808" s="12"/>
      <c r="GR808" s="12"/>
      <c r="GS808" s="12"/>
      <c r="GT808" s="12"/>
      <c r="GU808" s="12"/>
      <c r="GV808" s="12"/>
      <c r="GW808" s="12"/>
      <c r="GX808" s="12"/>
      <c r="GY808" s="12"/>
      <c r="GZ808" s="12"/>
      <c r="HA808" s="12"/>
      <c r="HB808" s="12"/>
      <c r="HC808" s="12"/>
      <c r="HD808" s="12"/>
      <c r="HE808" s="12"/>
      <c r="HF808" s="12"/>
      <c r="HG808" s="12"/>
      <c r="HH808" s="12"/>
      <c r="HI808" s="12"/>
      <c r="HJ808" s="12"/>
      <c r="HK808" s="12"/>
      <c r="HL808" s="12"/>
      <c r="HM808" s="12"/>
      <c r="HN808" s="12"/>
      <c r="HO808" s="12"/>
      <c r="HP808" s="12"/>
      <c r="HQ808" s="12"/>
      <c r="HR808" s="12"/>
      <c r="HS808" s="12"/>
      <c r="HT808" s="12"/>
      <c r="HU808" s="12"/>
      <c r="HV808" s="12"/>
      <c r="HW808" s="12"/>
      <c r="HX808" s="12"/>
      <c r="HY808" s="12"/>
      <c r="HZ808" s="12"/>
      <c r="IA808" s="12"/>
      <c r="IB808" s="12"/>
      <c r="IC808" s="12"/>
      <c r="ID808" s="12"/>
      <c r="IE808" s="12"/>
      <c r="IF808" s="12"/>
      <c r="IG808" s="12"/>
      <c r="IH808" s="12"/>
      <c r="II808" s="12"/>
      <c r="IJ808" s="12"/>
      <c r="IK808" s="12"/>
      <c r="IL808" s="12"/>
      <c r="IM808" s="12"/>
      <c r="IN808" s="12"/>
      <c r="IO808" s="12"/>
      <c r="IP808" s="12"/>
      <c r="IQ808" s="12"/>
      <c r="IR808" s="12"/>
      <c r="IS808" s="12"/>
      <c r="IT808" s="12"/>
      <c r="IU808" s="12"/>
      <c r="IV808" s="12"/>
      <c r="IW808" s="12"/>
      <c r="IX808" s="12"/>
    </row>
    <row r="809" spans="1:258" ht="45" customHeight="1">
      <c r="A809" s="55" t="s">
        <v>85</v>
      </c>
      <c r="B809" s="55"/>
      <c r="C809" s="1">
        <f t="shared" si="201"/>
        <v>2387200</v>
      </c>
      <c r="D809" s="1">
        <f t="shared" ref="D809:U809" si="213">SUM(D810:D811)</f>
        <v>0</v>
      </c>
      <c r="E809" s="1">
        <f t="shared" si="213"/>
        <v>0</v>
      </c>
      <c r="F809" s="1">
        <f t="shared" si="213"/>
        <v>0</v>
      </c>
      <c r="G809" s="1">
        <f t="shared" si="213"/>
        <v>0</v>
      </c>
      <c r="H809" s="1">
        <f t="shared" si="213"/>
        <v>0</v>
      </c>
      <c r="I809" s="1">
        <f t="shared" si="213"/>
        <v>0</v>
      </c>
      <c r="J809" s="1">
        <f t="shared" si="213"/>
        <v>0</v>
      </c>
      <c r="K809" s="42">
        <f t="shared" si="213"/>
        <v>0</v>
      </c>
      <c r="L809" s="1">
        <f t="shared" si="213"/>
        <v>0</v>
      </c>
      <c r="M809" s="1">
        <f t="shared" si="213"/>
        <v>374.7</v>
      </c>
      <c r="N809" s="1">
        <f t="shared" si="213"/>
        <v>1987200</v>
      </c>
      <c r="O809" s="1">
        <f t="shared" si="213"/>
        <v>0</v>
      </c>
      <c r="P809" s="1">
        <f t="shared" si="213"/>
        <v>0</v>
      </c>
      <c r="Q809" s="1">
        <f t="shared" si="213"/>
        <v>0</v>
      </c>
      <c r="R809" s="1">
        <f t="shared" si="213"/>
        <v>0</v>
      </c>
      <c r="S809" s="1">
        <f t="shared" si="213"/>
        <v>0</v>
      </c>
      <c r="T809" s="1">
        <f t="shared" si="213"/>
        <v>0</v>
      </c>
      <c r="U809" s="1">
        <f t="shared" si="213"/>
        <v>400000</v>
      </c>
    </row>
    <row r="810" spans="1:258" ht="21.95" customHeight="1">
      <c r="A810" s="19" t="s">
        <v>1198</v>
      </c>
      <c r="B810" s="26" t="s">
        <v>86</v>
      </c>
      <c r="C810" s="1">
        <f t="shared" si="201"/>
        <v>1179200</v>
      </c>
      <c r="D810" s="21">
        <f t="shared" ref="D810:D811" si="214">SUM(E810:J810)</f>
        <v>0</v>
      </c>
      <c r="E810" s="21">
        <v>0</v>
      </c>
      <c r="F810" s="21">
        <v>0</v>
      </c>
      <c r="G810" s="21">
        <v>0</v>
      </c>
      <c r="H810" s="21">
        <v>0</v>
      </c>
      <c r="I810" s="21">
        <v>0</v>
      </c>
      <c r="J810" s="21">
        <v>0</v>
      </c>
      <c r="K810" s="40">
        <v>0</v>
      </c>
      <c r="L810" s="21">
        <v>0</v>
      </c>
      <c r="M810" s="21">
        <v>184.7</v>
      </c>
      <c r="N810" s="3">
        <v>979200</v>
      </c>
      <c r="O810" s="21">
        <v>0</v>
      </c>
      <c r="P810" s="21">
        <v>0</v>
      </c>
      <c r="Q810" s="21">
        <v>0</v>
      </c>
      <c r="R810" s="21">
        <v>0</v>
      </c>
      <c r="S810" s="21">
        <v>0</v>
      </c>
      <c r="T810" s="21">
        <v>0</v>
      </c>
      <c r="U810" s="21">
        <v>200000</v>
      </c>
    </row>
    <row r="811" spans="1:258" s="9" customFormat="1" ht="21.95" customHeight="1">
      <c r="A811" s="19" t="s">
        <v>1199</v>
      </c>
      <c r="B811" s="26" t="s">
        <v>87</v>
      </c>
      <c r="C811" s="1">
        <f t="shared" si="201"/>
        <v>1208000</v>
      </c>
      <c r="D811" s="21">
        <f t="shared" si="214"/>
        <v>0</v>
      </c>
      <c r="E811" s="21">
        <v>0</v>
      </c>
      <c r="F811" s="21">
        <v>0</v>
      </c>
      <c r="G811" s="21">
        <v>0</v>
      </c>
      <c r="H811" s="21">
        <v>0</v>
      </c>
      <c r="I811" s="21">
        <v>0</v>
      </c>
      <c r="J811" s="21">
        <v>0</v>
      </c>
      <c r="K811" s="40">
        <v>0</v>
      </c>
      <c r="L811" s="21">
        <v>0</v>
      </c>
      <c r="M811" s="21">
        <v>190</v>
      </c>
      <c r="N811" s="3">
        <v>1008000</v>
      </c>
      <c r="O811" s="21">
        <v>0</v>
      </c>
      <c r="P811" s="21">
        <v>0</v>
      </c>
      <c r="Q811" s="21">
        <v>0</v>
      </c>
      <c r="R811" s="21">
        <v>0</v>
      </c>
      <c r="S811" s="21">
        <v>0</v>
      </c>
      <c r="T811" s="21">
        <v>0</v>
      </c>
      <c r="U811" s="21">
        <v>200000</v>
      </c>
    </row>
    <row r="812" spans="1:258" ht="45" customHeight="1">
      <c r="A812" s="55" t="s">
        <v>853</v>
      </c>
      <c r="B812" s="55"/>
      <c r="C812" s="1">
        <f t="shared" si="201"/>
        <v>11105752</v>
      </c>
      <c r="D812" s="1">
        <f t="shared" ref="D812:U812" si="215">SUM(D813:D815)</f>
        <v>3388092</v>
      </c>
      <c r="E812" s="1">
        <f t="shared" si="215"/>
        <v>571193</v>
      </c>
      <c r="F812" s="1">
        <f t="shared" si="215"/>
        <v>992304</v>
      </c>
      <c r="G812" s="1">
        <f t="shared" si="215"/>
        <v>551613</v>
      </c>
      <c r="H812" s="1">
        <f t="shared" si="215"/>
        <v>620190</v>
      </c>
      <c r="I812" s="1">
        <f t="shared" si="215"/>
        <v>652792</v>
      </c>
      <c r="J812" s="1">
        <f t="shared" si="215"/>
        <v>0</v>
      </c>
      <c r="K812" s="42">
        <f t="shared" si="215"/>
        <v>0</v>
      </c>
      <c r="L812" s="1">
        <f t="shared" si="215"/>
        <v>0</v>
      </c>
      <c r="M812" s="1">
        <f t="shared" si="215"/>
        <v>1128.5999999999999</v>
      </c>
      <c r="N812" s="1">
        <f t="shared" si="215"/>
        <v>5669280</v>
      </c>
      <c r="O812" s="1">
        <f t="shared" si="215"/>
        <v>0</v>
      </c>
      <c r="P812" s="1">
        <f t="shared" si="215"/>
        <v>0</v>
      </c>
      <c r="Q812" s="1">
        <f t="shared" si="215"/>
        <v>556</v>
      </c>
      <c r="R812" s="1">
        <f t="shared" si="215"/>
        <v>1448380</v>
      </c>
      <c r="S812" s="1">
        <f t="shared" si="215"/>
        <v>0</v>
      </c>
      <c r="T812" s="1">
        <f t="shared" si="215"/>
        <v>0</v>
      </c>
      <c r="U812" s="1">
        <f t="shared" si="215"/>
        <v>600000</v>
      </c>
    </row>
    <row r="813" spans="1:258" ht="21.95" customHeight="1">
      <c r="A813" s="19" t="s">
        <v>1200</v>
      </c>
      <c r="B813" s="24" t="s">
        <v>89</v>
      </c>
      <c r="C813" s="1">
        <f t="shared" si="201"/>
        <v>2009900</v>
      </c>
      <c r="D813" s="21">
        <f t="shared" ref="D813:D815" si="216">SUM(E813:J813)</f>
        <v>411180</v>
      </c>
      <c r="E813" s="21">
        <f>350*391.6</f>
        <v>137060</v>
      </c>
      <c r="F813" s="21">
        <v>0</v>
      </c>
      <c r="G813" s="21">
        <f>300*391.6</f>
        <v>117480</v>
      </c>
      <c r="H813" s="21">
        <v>0</v>
      </c>
      <c r="I813" s="21">
        <f>400*391.6</f>
        <v>156640</v>
      </c>
      <c r="J813" s="21">
        <f>350*0</f>
        <v>0</v>
      </c>
      <c r="K813" s="40">
        <v>0</v>
      </c>
      <c r="L813" s="21">
        <v>0</v>
      </c>
      <c r="M813" s="3">
        <v>291.39999999999998</v>
      </c>
      <c r="N813" s="3">
        <v>1398720</v>
      </c>
      <c r="O813" s="21">
        <v>0</v>
      </c>
      <c r="P813" s="21">
        <v>0</v>
      </c>
      <c r="Q813" s="21">
        <v>0</v>
      </c>
      <c r="R813" s="21">
        <v>0</v>
      </c>
      <c r="S813" s="21">
        <v>0</v>
      </c>
      <c r="T813" s="21">
        <v>0</v>
      </c>
      <c r="U813" s="21">
        <v>200000</v>
      </c>
    </row>
    <row r="814" spans="1:258" ht="21.95" customHeight="1">
      <c r="A814" s="19" t="s">
        <v>1201</v>
      </c>
      <c r="B814" s="24" t="s">
        <v>1515</v>
      </c>
      <c r="C814" s="1">
        <f t="shared" si="201"/>
        <v>6111900</v>
      </c>
      <c r="D814" s="21">
        <f t="shared" si="216"/>
        <v>1792320</v>
      </c>
      <c r="E814" s="21">
        <f>350*746.8</f>
        <v>261379.99999999997</v>
      </c>
      <c r="F814" s="21">
        <f>800*746.8</f>
        <v>597440</v>
      </c>
      <c r="G814" s="21">
        <f>350*746.8</f>
        <v>261379.99999999997</v>
      </c>
      <c r="H814" s="21">
        <f>500*746.8</f>
        <v>373400</v>
      </c>
      <c r="I814" s="21">
        <f>400*746.8</f>
        <v>298720</v>
      </c>
      <c r="J814" s="21">
        <v>0</v>
      </c>
      <c r="K814" s="40">
        <v>0</v>
      </c>
      <c r="L814" s="21">
        <v>0</v>
      </c>
      <c r="M814" s="3">
        <v>504</v>
      </c>
      <c r="N814" s="3">
        <v>2671200</v>
      </c>
      <c r="O814" s="21">
        <v>0</v>
      </c>
      <c r="P814" s="21">
        <v>0</v>
      </c>
      <c r="Q814" s="21">
        <v>556</v>
      </c>
      <c r="R814" s="21">
        <v>1448380</v>
      </c>
      <c r="S814" s="21">
        <v>0</v>
      </c>
      <c r="T814" s="21">
        <v>0</v>
      </c>
      <c r="U814" s="21">
        <v>200000</v>
      </c>
    </row>
    <row r="815" spans="1:258" ht="21.95" customHeight="1">
      <c r="A815" s="19" t="s">
        <v>1202</v>
      </c>
      <c r="B815" s="24" t="s">
        <v>90</v>
      </c>
      <c r="C815" s="1">
        <f t="shared" si="201"/>
        <v>2983952</v>
      </c>
      <c r="D815" s="21">
        <f t="shared" si="216"/>
        <v>1184592</v>
      </c>
      <c r="E815" s="21">
        <f>350*493.58</f>
        <v>172753</v>
      </c>
      <c r="F815" s="21">
        <f>800*493.58</f>
        <v>394864</v>
      </c>
      <c r="G815" s="21">
        <f>350*493.58</f>
        <v>172753</v>
      </c>
      <c r="H815" s="21">
        <f>500*493.58</f>
        <v>246790</v>
      </c>
      <c r="I815" s="21">
        <f>400*493.58</f>
        <v>197432</v>
      </c>
      <c r="J815" s="21">
        <v>0</v>
      </c>
      <c r="K815" s="40">
        <v>0</v>
      </c>
      <c r="L815" s="21">
        <v>0</v>
      </c>
      <c r="M815" s="3">
        <v>333.2</v>
      </c>
      <c r="N815" s="3">
        <v>1599360</v>
      </c>
      <c r="O815" s="21">
        <v>0</v>
      </c>
      <c r="P815" s="21">
        <v>0</v>
      </c>
      <c r="Q815" s="21">
        <v>0</v>
      </c>
      <c r="R815" s="21">
        <v>0</v>
      </c>
      <c r="S815" s="21">
        <v>0</v>
      </c>
      <c r="T815" s="21">
        <v>0</v>
      </c>
      <c r="U815" s="21">
        <v>200000</v>
      </c>
    </row>
    <row r="816" spans="1:258" ht="45" customHeight="1">
      <c r="A816" s="55" t="s">
        <v>1322</v>
      </c>
      <c r="B816" s="55"/>
      <c r="C816" s="1">
        <f t="shared" si="201"/>
        <v>3667970</v>
      </c>
      <c r="D816" s="1">
        <f t="shared" ref="D816:U816" si="217">SUM(D817)</f>
        <v>0</v>
      </c>
      <c r="E816" s="1">
        <f t="shared" si="217"/>
        <v>0</v>
      </c>
      <c r="F816" s="1">
        <f t="shared" si="217"/>
        <v>0</v>
      </c>
      <c r="G816" s="1">
        <f t="shared" si="217"/>
        <v>0</v>
      </c>
      <c r="H816" s="1">
        <f t="shared" si="217"/>
        <v>0</v>
      </c>
      <c r="I816" s="1">
        <f t="shared" si="217"/>
        <v>0</v>
      </c>
      <c r="J816" s="1">
        <f t="shared" si="217"/>
        <v>0</v>
      </c>
      <c r="K816" s="42">
        <f t="shared" si="217"/>
        <v>0</v>
      </c>
      <c r="L816" s="1">
        <f t="shared" si="217"/>
        <v>0</v>
      </c>
      <c r="M816" s="1">
        <f t="shared" si="217"/>
        <v>1050.9000000000001</v>
      </c>
      <c r="N816" s="1">
        <f t="shared" si="217"/>
        <v>3467970</v>
      </c>
      <c r="O816" s="1">
        <f t="shared" si="217"/>
        <v>0</v>
      </c>
      <c r="P816" s="1">
        <f t="shared" si="217"/>
        <v>0</v>
      </c>
      <c r="Q816" s="1">
        <f t="shared" si="217"/>
        <v>0</v>
      </c>
      <c r="R816" s="1">
        <f t="shared" si="217"/>
        <v>0</v>
      </c>
      <c r="S816" s="1">
        <f t="shared" si="217"/>
        <v>0</v>
      </c>
      <c r="T816" s="1">
        <f t="shared" si="217"/>
        <v>0</v>
      </c>
      <c r="U816" s="1">
        <f t="shared" si="217"/>
        <v>200000</v>
      </c>
      <c r="V816" s="13">
        <f>C816</f>
        <v>3667970</v>
      </c>
    </row>
    <row r="817" spans="1:22" ht="21.95" customHeight="1">
      <c r="A817" s="19" t="s">
        <v>1203</v>
      </c>
      <c r="B817" s="24" t="s">
        <v>1323</v>
      </c>
      <c r="C817" s="1">
        <f t="shared" si="201"/>
        <v>3667970</v>
      </c>
      <c r="D817" s="21">
        <f t="shared" ref="D817" si="218">SUM(E817:J817)</f>
        <v>0</v>
      </c>
      <c r="E817" s="21">
        <v>0</v>
      </c>
      <c r="F817" s="21">
        <v>0</v>
      </c>
      <c r="G817" s="21">
        <v>0</v>
      </c>
      <c r="H817" s="21">
        <v>0</v>
      </c>
      <c r="I817" s="21">
        <v>0</v>
      </c>
      <c r="J817" s="21">
        <v>0</v>
      </c>
      <c r="K817" s="40">
        <v>0</v>
      </c>
      <c r="L817" s="21">
        <v>0</v>
      </c>
      <c r="M817" s="3">
        <v>1050.9000000000001</v>
      </c>
      <c r="N817" s="3">
        <v>3467970</v>
      </c>
      <c r="O817" s="21">
        <v>0</v>
      </c>
      <c r="P817" s="21">
        <v>0</v>
      </c>
      <c r="Q817" s="21">
        <v>0</v>
      </c>
      <c r="R817" s="21">
        <v>0</v>
      </c>
      <c r="S817" s="21">
        <v>0</v>
      </c>
      <c r="T817" s="21">
        <v>0</v>
      </c>
      <c r="U817" s="21">
        <v>200000</v>
      </c>
    </row>
    <row r="818" spans="1:22" ht="45" customHeight="1">
      <c r="A818" s="55" t="s">
        <v>97</v>
      </c>
      <c r="B818" s="55"/>
      <c r="C818" s="1">
        <f t="shared" si="201"/>
        <v>5000000</v>
      </c>
      <c r="D818" s="1">
        <f t="shared" ref="D818:U818" si="219">SUM(D819:D820)</f>
        <v>0</v>
      </c>
      <c r="E818" s="1">
        <f t="shared" si="219"/>
        <v>0</v>
      </c>
      <c r="F818" s="1">
        <f t="shared" si="219"/>
        <v>0</v>
      </c>
      <c r="G818" s="1">
        <f t="shared" si="219"/>
        <v>0</v>
      </c>
      <c r="H818" s="1">
        <f t="shared" si="219"/>
        <v>0</v>
      </c>
      <c r="I818" s="1">
        <f t="shared" si="219"/>
        <v>0</v>
      </c>
      <c r="J818" s="1">
        <f t="shared" si="219"/>
        <v>0</v>
      </c>
      <c r="K818" s="42">
        <f t="shared" si="219"/>
        <v>2</v>
      </c>
      <c r="L818" s="1">
        <f t="shared" si="219"/>
        <v>4600000</v>
      </c>
      <c r="M818" s="1">
        <f t="shared" si="219"/>
        <v>0</v>
      </c>
      <c r="N818" s="1">
        <f t="shared" si="219"/>
        <v>0</v>
      </c>
      <c r="O818" s="1">
        <f t="shared" si="219"/>
        <v>0</v>
      </c>
      <c r="P818" s="1">
        <f t="shared" si="219"/>
        <v>0</v>
      </c>
      <c r="Q818" s="1">
        <f t="shared" si="219"/>
        <v>0</v>
      </c>
      <c r="R818" s="1">
        <f t="shared" si="219"/>
        <v>0</v>
      </c>
      <c r="S818" s="1">
        <f t="shared" si="219"/>
        <v>0</v>
      </c>
      <c r="T818" s="1">
        <f t="shared" si="219"/>
        <v>0</v>
      </c>
      <c r="U818" s="1">
        <f t="shared" si="219"/>
        <v>400000</v>
      </c>
    </row>
    <row r="819" spans="1:22" ht="21.95" customHeight="1">
      <c r="A819" s="19" t="s">
        <v>1204</v>
      </c>
      <c r="B819" s="24" t="s">
        <v>101</v>
      </c>
      <c r="C819" s="1">
        <f t="shared" si="201"/>
        <v>2500000</v>
      </c>
      <c r="D819" s="21">
        <f t="shared" ref="D819:D820" si="220">SUM(E819:J819)</f>
        <v>0</v>
      </c>
      <c r="E819" s="21">
        <v>0</v>
      </c>
      <c r="F819" s="21">
        <v>0</v>
      </c>
      <c r="G819" s="21">
        <v>0</v>
      </c>
      <c r="H819" s="21">
        <v>0</v>
      </c>
      <c r="I819" s="21">
        <v>0</v>
      </c>
      <c r="J819" s="21">
        <v>0</v>
      </c>
      <c r="K819" s="40">
        <v>1</v>
      </c>
      <c r="L819" s="21">
        <v>2300000</v>
      </c>
      <c r="M819" s="3">
        <v>0</v>
      </c>
      <c r="N819" s="3">
        <v>0</v>
      </c>
      <c r="O819" s="21">
        <v>0</v>
      </c>
      <c r="P819" s="21">
        <v>0</v>
      </c>
      <c r="Q819" s="21">
        <v>0</v>
      </c>
      <c r="R819" s="21">
        <v>0</v>
      </c>
      <c r="S819" s="21">
        <v>0</v>
      </c>
      <c r="T819" s="21">
        <v>0</v>
      </c>
      <c r="U819" s="21">
        <v>200000</v>
      </c>
    </row>
    <row r="820" spans="1:22" ht="21.95" customHeight="1">
      <c r="A820" s="19" t="s">
        <v>1205</v>
      </c>
      <c r="B820" s="24" t="s">
        <v>105</v>
      </c>
      <c r="C820" s="1">
        <f t="shared" si="201"/>
        <v>2500000</v>
      </c>
      <c r="D820" s="21">
        <f t="shared" si="220"/>
        <v>0</v>
      </c>
      <c r="E820" s="21">
        <v>0</v>
      </c>
      <c r="F820" s="21">
        <v>0</v>
      </c>
      <c r="G820" s="21">
        <v>0</v>
      </c>
      <c r="H820" s="21">
        <v>0</v>
      </c>
      <c r="I820" s="21">
        <v>0</v>
      </c>
      <c r="J820" s="21">
        <v>0</v>
      </c>
      <c r="K820" s="40">
        <v>1</v>
      </c>
      <c r="L820" s="21">
        <v>2300000</v>
      </c>
      <c r="M820" s="3">
        <v>0</v>
      </c>
      <c r="N820" s="3">
        <v>0</v>
      </c>
      <c r="O820" s="21">
        <v>0</v>
      </c>
      <c r="P820" s="21">
        <v>0</v>
      </c>
      <c r="Q820" s="21">
        <v>0</v>
      </c>
      <c r="R820" s="21">
        <v>0</v>
      </c>
      <c r="S820" s="21">
        <v>0</v>
      </c>
      <c r="T820" s="21">
        <v>0</v>
      </c>
      <c r="U820" s="21">
        <v>200000</v>
      </c>
    </row>
    <row r="821" spans="1:22" ht="45" customHeight="1">
      <c r="A821" s="55" t="s">
        <v>106</v>
      </c>
      <c r="B821" s="55"/>
      <c r="C821" s="1">
        <f t="shared" si="201"/>
        <v>11125500</v>
      </c>
      <c r="D821" s="1">
        <f t="shared" ref="D821:U821" si="221">SUM(D822:D825)</f>
        <v>0</v>
      </c>
      <c r="E821" s="1">
        <f t="shared" si="221"/>
        <v>0</v>
      </c>
      <c r="F821" s="1">
        <f t="shared" si="221"/>
        <v>0</v>
      </c>
      <c r="G821" s="1">
        <f t="shared" si="221"/>
        <v>0</v>
      </c>
      <c r="H821" s="1">
        <f t="shared" si="221"/>
        <v>0</v>
      </c>
      <c r="I821" s="1">
        <f t="shared" si="221"/>
        <v>0</v>
      </c>
      <c r="J821" s="1">
        <f t="shared" si="221"/>
        <v>0</v>
      </c>
      <c r="K821" s="42">
        <f t="shared" si="221"/>
        <v>0</v>
      </c>
      <c r="L821" s="1">
        <f t="shared" si="221"/>
        <v>0</v>
      </c>
      <c r="M821" s="1">
        <f t="shared" si="221"/>
        <v>2325</v>
      </c>
      <c r="N821" s="1">
        <f t="shared" si="221"/>
        <v>10325500</v>
      </c>
      <c r="O821" s="1">
        <f t="shared" si="221"/>
        <v>0</v>
      </c>
      <c r="P821" s="1">
        <f t="shared" si="221"/>
        <v>0</v>
      </c>
      <c r="Q821" s="1">
        <f t="shared" si="221"/>
        <v>0</v>
      </c>
      <c r="R821" s="1">
        <f t="shared" si="221"/>
        <v>0</v>
      </c>
      <c r="S821" s="1">
        <f t="shared" si="221"/>
        <v>0</v>
      </c>
      <c r="T821" s="1">
        <f t="shared" si="221"/>
        <v>0</v>
      </c>
      <c r="U821" s="1">
        <f t="shared" si="221"/>
        <v>800000</v>
      </c>
    </row>
    <row r="822" spans="1:22" ht="21" customHeight="1">
      <c r="A822" s="19" t="s">
        <v>1206</v>
      </c>
      <c r="B822" s="24" t="s">
        <v>108</v>
      </c>
      <c r="C822" s="1">
        <f t="shared" si="201"/>
        <v>2590300</v>
      </c>
      <c r="D822" s="21">
        <f t="shared" ref="D822:D825" si="222">SUM(E822:J822)</f>
        <v>0</v>
      </c>
      <c r="E822" s="21">
        <v>0</v>
      </c>
      <c r="F822" s="21">
        <v>0</v>
      </c>
      <c r="G822" s="21">
        <v>0</v>
      </c>
      <c r="H822" s="21">
        <v>0</v>
      </c>
      <c r="I822" s="21">
        <v>0</v>
      </c>
      <c r="J822" s="21">
        <v>0</v>
      </c>
      <c r="K822" s="40">
        <v>0</v>
      </c>
      <c r="L822" s="21">
        <v>0</v>
      </c>
      <c r="M822" s="3">
        <v>451</v>
      </c>
      <c r="N822" s="3">
        <v>2390300</v>
      </c>
      <c r="O822" s="21">
        <v>0</v>
      </c>
      <c r="P822" s="21">
        <v>0</v>
      </c>
      <c r="Q822" s="21">
        <v>0</v>
      </c>
      <c r="R822" s="21">
        <v>0</v>
      </c>
      <c r="S822" s="21">
        <v>0</v>
      </c>
      <c r="T822" s="21">
        <v>0</v>
      </c>
      <c r="U822" s="21">
        <v>200000</v>
      </c>
    </row>
    <row r="823" spans="1:22" ht="21" customHeight="1">
      <c r="A823" s="19" t="s">
        <v>1207</v>
      </c>
      <c r="B823" s="24" t="s">
        <v>110</v>
      </c>
      <c r="C823" s="1">
        <f t="shared" si="201"/>
        <v>3332300</v>
      </c>
      <c r="D823" s="21">
        <f t="shared" si="222"/>
        <v>0</v>
      </c>
      <c r="E823" s="21">
        <v>0</v>
      </c>
      <c r="F823" s="21">
        <v>0</v>
      </c>
      <c r="G823" s="21">
        <v>0</v>
      </c>
      <c r="H823" s="21">
        <v>0</v>
      </c>
      <c r="I823" s="21">
        <v>0</v>
      </c>
      <c r="J823" s="21">
        <v>0</v>
      </c>
      <c r="K823" s="40">
        <v>0</v>
      </c>
      <c r="L823" s="21">
        <v>0</v>
      </c>
      <c r="M823" s="3">
        <v>591</v>
      </c>
      <c r="N823" s="3">
        <v>3132300</v>
      </c>
      <c r="O823" s="21">
        <v>0</v>
      </c>
      <c r="P823" s="21">
        <v>0</v>
      </c>
      <c r="Q823" s="21">
        <v>0</v>
      </c>
      <c r="R823" s="21">
        <v>0</v>
      </c>
      <c r="S823" s="21">
        <v>0</v>
      </c>
      <c r="T823" s="21">
        <v>0</v>
      </c>
      <c r="U823" s="21">
        <v>200000</v>
      </c>
    </row>
    <row r="824" spans="1:22" ht="21" customHeight="1">
      <c r="A824" s="19" t="s">
        <v>1208</v>
      </c>
      <c r="B824" s="24" t="s">
        <v>111</v>
      </c>
      <c r="C824" s="1">
        <f t="shared" si="201"/>
        <v>2708000</v>
      </c>
      <c r="D824" s="21">
        <f t="shared" si="222"/>
        <v>0</v>
      </c>
      <c r="E824" s="21">
        <v>0</v>
      </c>
      <c r="F824" s="21">
        <v>0</v>
      </c>
      <c r="G824" s="21">
        <v>0</v>
      </c>
      <c r="H824" s="21">
        <v>0</v>
      </c>
      <c r="I824" s="21">
        <v>0</v>
      </c>
      <c r="J824" s="21">
        <v>0</v>
      </c>
      <c r="K824" s="40">
        <v>0</v>
      </c>
      <c r="L824" s="21">
        <v>0</v>
      </c>
      <c r="M824" s="3">
        <v>850</v>
      </c>
      <c r="N824" s="3">
        <v>2508000</v>
      </c>
      <c r="O824" s="21">
        <v>0</v>
      </c>
      <c r="P824" s="21">
        <v>0</v>
      </c>
      <c r="Q824" s="21">
        <v>0</v>
      </c>
      <c r="R824" s="21">
        <v>0</v>
      </c>
      <c r="S824" s="21">
        <v>0</v>
      </c>
      <c r="T824" s="21">
        <v>0</v>
      </c>
      <c r="U824" s="21">
        <v>200000</v>
      </c>
    </row>
    <row r="825" spans="1:22" ht="21" customHeight="1">
      <c r="A825" s="19" t="s">
        <v>1209</v>
      </c>
      <c r="B825" s="24" t="s">
        <v>113</v>
      </c>
      <c r="C825" s="1">
        <f t="shared" si="201"/>
        <v>2494900</v>
      </c>
      <c r="D825" s="21">
        <f t="shared" si="222"/>
        <v>0</v>
      </c>
      <c r="E825" s="21">
        <v>0</v>
      </c>
      <c r="F825" s="21">
        <v>0</v>
      </c>
      <c r="G825" s="21">
        <v>0</v>
      </c>
      <c r="H825" s="21">
        <v>0</v>
      </c>
      <c r="I825" s="21">
        <v>0</v>
      </c>
      <c r="J825" s="21">
        <v>0</v>
      </c>
      <c r="K825" s="40">
        <v>0</v>
      </c>
      <c r="L825" s="21">
        <v>0</v>
      </c>
      <c r="M825" s="3">
        <v>433</v>
      </c>
      <c r="N825" s="3">
        <v>2294900</v>
      </c>
      <c r="O825" s="21">
        <v>0</v>
      </c>
      <c r="P825" s="21">
        <v>0</v>
      </c>
      <c r="Q825" s="21">
        <v>0</v>
      </c>
      <c r="R825" s="21">
        <v>0</v>
      </c>
      <c r="S825" s="21">
        <v>0</v>
      </c>
      <c r="T825" s="21">
        <v>0</v>
      </c>
      <c r="U825" s="21">
        <v>200000</v>
      </c>
    </row>
    <row r="826" spans="1:22" ht="45" customHeight="1">
      <c r="A826" s="55" t="s">
        <v>120</v>
      </c>
      <c r="B826" s="55"/>
      <c r="C826" s="1">
        <f t="shared" si="201"/>
        <v>1429600</v>
      </c>
      <c r="D826" s="1">
        <f t="shared" ref="D826:U826" si="223">SUM(D827)</f>
        <v>0</v>
      </c>
      <c r="E826" s="1">
        <f t="shared" si="223"/>
        <v>0</v>
      </c>
      <c r="F826" s="1">
        <f t="shared" si="223"/>
        <v>0</v>
      </c>
      <c r="G826" s="1">
        <f t="shared" si="223"/>
        <v>0</v>
      </c>
      <c r="H826" s="1">
        <f t="shared" si="223"/>
        <v>0</v>
      </c>
      <c r="I826" s="1">
        <f t="shared" si="223"/>
        <v>0</v>
      </c>
      <c r="J826" s="1">
        <f t="shared" si="223"/>
        <v>0</v>
      </c>
      <c r="K826" s="42">
        <f t="shared" si="223"/>
        <v>0</v>
      </c>
      <c r="L826" s="1">
        <f t="shared" si="223"/>
        <v>0</v>
      </c>
      <c r="M826" s="1">
        <f t="shared" si="223"/>
        <v>232</v>
      </c>
      <c r="N826" s="1">
        <f t="shared" si="223"/>
        <v>1229600</v>
      </c>
      <c r="O826" s="1">
        <f t="shared" si="223"/>
        <v>0</v>
      </c>
      <c r="P826" s="1">
        <f t="shared" si="223"/>
        <v>0</v>
      </c>
      <c r="Q826" s="1">
        <f t="shared" si="223"/>
        <v>0</v>
      </c>
      <c r="R826" s="1">
        <f t="shared" si="223"/>
        <v>0</v>
      </c>
      <c r="S826" s="1">
        <f t="shared" si="223"/>
        <v>0</v>
      </c>
      <c r="T826" s="1">
        <f t="shared" si="223"/>
        <v>0</v>
      </c>
      <c r="U826" s="1">
        <f t="shared" si="223"/>
        <v>200000</v>
      </c>
    </row>
    <row r="827" spans="1:22" ht="21.95" customHeight="1">
      <c r="A827" s="17" t="s">
        <v>1210</v>
      </c>
      <c r="B827" s="24" t="s">
        <v>121</v>
      </c>
      <c r="C827" s="1">
        <f t="shared" si="201"/>
        <v>1429600</v>
      </c>
      <c r="D827" s="21">
        <f t="shared" ref="D827" si="224">SUM(E827:J827)</f>
        <v>0</v>
      </c>
      <c r="E827" s="21">
        <v>0</v>
      </c>
      <c r="F827" s="21">
        <v>0</v>
      </c>
      <c r="G827" s="21">
        <v>0</v>
      </c>
      <c r="H827" s="21">
        <v>0</v>
      </c>
      <c r="I827" s="21">
        <v>0</v>
      </c>
      <c r="J827" s="21">
        <v>0</v>
      </c>
      <c r="K827" s="5">
        <v>0</v>
      </c>
      <c r="L827" s="3">
        <v>0</v>
      </c>
      <c r="M827" s="3">
        <v>232</v>
      </c>
      <c r="N827" s="3">
        <v>1229600</v>
      </c>
      <c r="O827" s="3">
        <v>0</v>
      </c>
      <c r="P827" s="3">
        <v>0</v>
      </c>
      <c r="Q827" s="3">
        <v>0</v>
      </c>
      <c r="R827" s="3">
        <v>0</v>
      </c>
      <c r="S827" s="3">
        <v>0</v>
      </c>
      <c r="T827" s="3">
        <v>0</v>
      </c>
      <c r="U827" s="3">
        <v>200000</v>
      </c>
      <c r="V827" s="13"/>
    </row>
    <row r="828" spans="1:22" ht="45" customHeight="1">
      <c r="A828" s="55" t="s">
        <v>1926</v>
      </c>
      <c r="B828" s="55"/>
      <c r="C828" s="1">
        <f t="shared" si="201"/>
        <v>15544149.800000001</v>
      </c>
      <c r="D828" s="1">
        <f t="shared" ref="D828:U828" si="225">SUM(D829:D831)</f>
        <v>0</v>
      </c>
      <c r="E828" s="1">
        <f t="shared" si="225"/>
        <v>0</v>
      </c>
      <c r="F828" s="1">
        <f t="shared" si="225"/>
        <v>0</v>
      </c>
      <c r="G828" s="1">
        <f t="shared" si="225"/>
        <v>0</v>
      </c>
      <c r="H828" s="1">
        <f t="shared" si="225"/>
        <v>0</v>
      </c>
      <c r="I828" s="1">
        <f t="shared" si="225"/>
        <v>0</v>
      </c>
      <c r="J828" s="1">
        <f t="shared" si="225"/>
        <v>0</v>
      </c>
      <c r="K828" s="42">
        <f t="shared" si="225"/>
        <v>0</v>
      </c>
      <c r="L828" s="1">
        <f t="shared" si="225"/>
        <v>0</v>
      </c>
      <c r="M828" s="1">
        <f t="shared" si="225"/>
        <v>4054.3</v>
      </c>
      <c r="N828" s="1">
        <f t="shared" si="225"/>
        <v>14944149.800000001</v>
      </c>
      <c r="O828" s="1">
        <f t="shared" si="225"/>
        <v>0</v>
      </c>
      <c r="P828" s="1">
        <f t="shared" si="225"/>
        <v>0</v>
      </c>
      <c r="Q828" s="1">
        <f t="shared" si="225"/>
        <v>0</v>
      </c>
      <c r="R828" s="1">
        <f t="shared" si="225"/>
        <v>0</v>
      </c>
      <c r="S828" s="1">
        <f t="shared" si="225"/>
        <v>0</v>
      </c>
      <c r="T828" s="1">
        <f t="shared" si="225"/>
        <v>0</v>
      </c>
      <c r="U828" s="1">
        <f t="shared" si="225"/>
        <v>600000</v>
      </c>
      <c r="V828" s="13">
        <f>C828+C1254</f>
        <v>15544149.800000001</v>
      </c>
    </row>
    <row r="829" spans="1:22" ht="21.95" customHeight="1">
      <c r="A829" s="19" t="s">
        <v>1211</v>
      </c>
      <c r="B829" s="24" t="s">
        <v>1927</v>
      </c>
      <c r="C829" s="1">
        <f t="shared" si="201"/>
        <v>5253506</v>
      </c>
      <c r="D829" s="21">
        <f t="shared" ref="D829:D831" si="226">SUM(E829:J829)</f>
        <v>0</v>
      </c>
      <c r="E829" s="21">
        <v>0</v>
      </c>
      <c r="F829" s="21">
        <v>0</v>
      </c>
      <c r="G829" s="21">
        <v>0</v>
      </c>
      <c r="H829" s="21">
        <v>0</v>
      </c>
      <c r="I829" s="21">
        <v>0</v>
      </c>
      <c r="J829" s="21">
        <v>0</v>
      </c>
      <c r="K829" s="40">
        <v>0</v>
      </c>
      <c r="L829" s="21">
        <v>0</v>
      </c>
      <c r="M829" s="3">
        <v>1371</v>
      </c>
      <c r="N829" s="3">
        <f>M829*3686</f>
        <v>5053506</v>
      </c>
      <c r="O829" s="3">
        <v>0</v>
      </c>
      <c r="P829" s="3">
        <v>0</v>
      </c>
      <c r="Q829" s="3">
        <v>0</v>
      </c>
      <c r="R829" s="3">
        <v>0</v>
      </c>
      <c r="S829" s="3">
        <v>0</v>
      </c>
      <c r="T829" s="3">
        <v>0</v>
      </c>
      <c r="U829" s="3">
        <v>200000</v>
      </c>
    </row>
    <row r="830" spans="1:22" ht="21.95" customHeight="1">
      <c r="A830" s="19" t="s">
        <v>1212</v>
      </c>
      <c r="B830" s="24" t="s">
        <v>1928</v>
      </c>
      <c r="C830" s="1">
        <f t="shared" si="201"/>
        <v>4742257.8</v>
      </c>
      <c r="D830" s="21">
        <f t="shared" si="226"/>
        <v>0</v>
      </c>
      <c r="E830" s="21">
        <v>0</v>
      </c>
      <c r="F830" s="21">
        <v>0</v>
      </c>
      <c r="G830" s="21">
        <v>0</v>
      </c>
      <c r="H830" s="21">
        <v>0</v>
      </c>
      <c r="I830" s="21">
        <v>0</v>
      </c>
      <c r="J830" s="21">
        <v>0</v>
      </c>
      <c r="K830" s="40">
        <v>0</v>
      </c>
      <c r="L830" s="21">
        <v>0</v>
      </c>
      <c r="M830" s="3">
        <v>1232.3</v>
      </c>
      <c r="N830" s="3">
        <f>M830*3686</f>
        <v>4542257.8</v>
      </c>
      <c r="O830" s="3">
        <v>0</v>
      </c>
      <c r="P830" s="3">
        <v>0</v>
      </c>
      <c r="Q830" s="3">
        <v>0</v>
      </c>
      <c r="R830" s="3">
        <v>0</v>
      </c>
      <c r="S830" s="3">
        <v>0</v>
      </c>
      <c r="T830" s="3">
        <v>0</v>
      </c>
      <c r="U830" s="3">
        <v>200000</v>
      </c>
    </row>
    <row r="831" spans="1:22" ht="21.95" customHeight="1">
      <c r="A831" s="19" t="s">
        <v>1213</v>
      </c>
      <c r="B831" s="24" t="s">
        <v>1929</v>
      </c>
      <c r="C831" s="1">
        <f t="shared" si="201"/>
        <v>5548386</v>
      </c>
      <c r="D831" s="21">
        <f t="shared" si="226"/>
        <v>0</v>
      </c>
      <c r="E831" s="21">
        <v>0</v>
      </c>
      <c r="F831" s="21">
        <v>0</v>
      </c>
      <c r="G831" s="21">
        <v>0</v>
      </c>
      <c r="H831" s="21">
        <v>0</v>
      </c>
      <c r="I831" s="21">
        <v>0</v>
      </c>
      <c r="J831" s="21">
        <v>0</v>
      </c>
      <c r="K831" s="40">
        <v>0</v>
      </c>
      <c r="L831" s="21">
        <v>0</v>
      </c>
      <c r="M831" s="3">
        <v>1451</v>
      </c>
      <c r="N831" s="3">
        <f>M831*3686</f>
        <v>5348386</v>
      </c>
      <c r="O831" s="3">
        <v>0</v>
      </c>
      <c r="P831" s="3">
        <v>0</v>
      </c>
      <c r="Q831" s="3">
        <v>0</v>
      </c>
      <c r="R831" s="3">
        <v>0</v>
      </c>
      <c r="S831" s="3">
        <v>0</v>
      </c>
      <c r="T831" s="3">
        <v>0</v>
      </c>
      <c r="U831" s="3">
        <v>200000</v>
      </c>
    </row>
    <row r="832" spans="1:22" ht="45" customHeight="1">
      <c r="A832" s="55" t="s">
        <v>1924</v>
      </c>
      <c r="B832" s="55"/>
      <c r="C832" s="1">
        <f t="shared" si="201"/>
        <v>200000</v>
      </c>
      <c r="D832" s="1">
        <f t="shared" ref="D832:U832" si="227">SUM(D416)</f>
        <v>0</v>
      </c>
      <c r="E832" s="1">
        <f t="shared" si="227"/>
        <v>0</v>
      </c>
      <c r="F832" s="1">
        <f t="shared" si="227"/>
        <v>0</v>
      </c>
      <c r="G832" s="1">
        <f t="shared" si="227"/>
        <v>0</v>
      </c>
      <c r="H832" s="1">
        <f t="shared" si="227"/>
        <v>0</v>
      </c>
      <c r="I832" s="1">
        <f t="shared" si="227"/>
        <v>0</v>
      </c>
      <c r="J832" s="1">
        <f t="shared" si="227"/>
        <v>0</v>
      </c>
      <c r="K832" s="42">
        <f t="shared" si="227"/>
        <v>0</v>
      </c>
      <c r="L832" s="1">
        <f t="shared" si="227"/>
        <v>0</v>
      </c>
      <c r="M832" s="1">
        <f t="shared" si="227"/>
        <v>0</v>
      </c>
      <c r="N832" s="1">
        <f t="shared" si="227"/>
        <v>0</v>
      </c>
      <c r="O832" s="1">
        <f t="shared" si="227"/>
        <v>0</v>
      </c>
      <c r="P832" s="1">
        <f t="shared" si="227"/>
        <v>0</v>
      </c>
      <c r="Q832" s="1">
        <f t="shared" si="227"/>
        <v>0</v>
      </c>
      <c r="R832" s="1">
        <f t="shared" si="227"/>
        <v>0</v>
      </c>
      <c r="S832" s="1">
        <f t="shared" si="227"/>
        <v>0</v>
      </c>
      <c r="T832" s="1">
        <f t="shared" si="227"/>
        <v>0</v>
      </c>
      <c r="U832" s="1">
        <f t="shared" si="227"/>
        <v>200000</v>
      </c>
      <c r="V832" s="13">
        <f>C832+C1252</f>
        <v>200000</v>
      </c>
    </row>
    <row r="833" spans="1:22" ht="21.95" customHeight="1">
      <c r="A833" s="19" t="s">
        <v>1214</v>
      </c>
      <c r="B833" s="24" t="s">
        <v>1925</v>
      </c>
      <c r="C833" s="1">
        <f>D833+L833+N833+P833+R833+S833+T833+U833</f>
        <v>473220</v>
      </c>
      <c r="D833" s="21">
        <f t="shared" ref="D833" si="228">SUM(E833:J833)</f>
        <v>473220</v>
      </c>
      <c r="E833" s="21">
        <f>350*430.2</f>
        <v>150570</v>
      </c>
      <c r="F833" s="21">
        <v>0</v>
      </c>
      <c r="G833" s="21">
        <f>350*430.2</f>
        <v>150570</v>
      </c>
      <c r="H833" s="21">
        <v>0</v>
      </c>
      <c r="I833" s="21">
        <f>400*430.2</f>
        <v>172080</v>
      </c>
      <c r="J833" s="21">
        <v>0</v>
      </c>
      <c r="K833" s="40">
        <v>0</v>
      </c>
      <c r="L833" s="21">
        <v>0</v>
      </c>
      <c r="M833" s="3">
        <v>0</v>
      </c>
      <c r="N833" s="3">
        <v>0</v>
      </c>
      <c r="O833" s="3">
        <v>0</v>
      </c>
      <c r="P833" s="3">
        <v>0</v>
      </c>
      <c r="Q833" s="3">
        <v>0</v>
      </c>
      <c r="R833" s="3">
        <v>0</v>
      </c>
      <c r="S833" s="3">
        <v>0</v>
      </c>
      <c r="T833" s="3">
        <v>0</v>
      </c>
      <c r="U833" s="3">
        <v>0</v>
      </c>
    </row>
    <row r="834" spans="1:22" ht="45" customHeight="1">
      <c r="A834" s="55" t="s">
        <v>128</v>
      </c>
      <c r="B834" s="55"/>
      <c r="C834" s="1">
        <f t="shared" si="201"/>
        <v>4687170</v>
      </c>
      <c r="D834" s="1">
        <f t="shared" ref="D834:U834" si="229">SUM(D835:D836)</f>
        <v>0</v>
      </c>
      <c r="E834" s="1">
        <f t="shared" si="229"/>
        <v>0</v>
      </c>
      <c r="F834" s="1">
        <f t="shared" si="229"/>
        <v>0</v>
      </c>
      <c r="G834" s="1">
        <f t="shared" si="229"/>
        <v>0</v>
      </c>
      <c r="H834" s="1">
        <f t="shared" si="229"/>
        <v>0</v>
      </c>
      <c r="I834" s="1">
        <f t="shared" si="229"/>
        <v>0</v>
      </c>
      <c r="J834" s="1">
        <f t="shared" si="229"/>
        <v>0</v>
      </c>
      <c r="K834" s="42">
        <f t="shared" si="229"/>
        <v>0</v>
      </c>
      <c r="L834" s="1">
        <f t="shared" si="229"/>
        <v>0</v>
      </c>
      <c r="M834" s="1">
        <f t="shared" si="229"/>
        <v>808.9</v>
      </c>
      <c r="N834" s="1">
        <f t="shared" si="229"/>
        <v>4287170</v>
      </c>
      <c r="O834" s="1">
        <f t="shared" si="229"/>
        <v>0</v>
      </c>
      <c r="P834" s="1">
        <f t="shared" si="229"/>
        <v>0</v>
      </c>
      <c r="Q834" s="1">
        <f t="shared" si="229"/>
        <v>0</v>
      </c>
      <c r="R834" s="1">
        <f t="shared" si="229"/>
        <v>0</v>
      </c>
      <c r="S834" s="1">
        <f t="shared" si="229"/>
        <v>0</v>
      </c>
      <c r="T834" s="1">
        <f t="shared" si="229"/>
        <v>0</v>
      </c>
      <c r="U834" s="1">
        <f t="shared" si="229"/>
        <v>400000</v>
      </c>
    </row>
    <row r="835" spans="1:22" ht="21.95" customHeight="1">
      <c r="A835" s="19" t="s">
        <v>1215</v>
      </c>
      <c r="B835" s="26" t="s">
        <v>123</v>
      </c>
      <c r="C835" s="1">
        <f t="shared" si="201"/>
        <v>3162170</v>
      </c>
      <c r="D835" s="21">
        <f t="shared" ref="D835:D836" si="230">SUM(E835:J835)</f>
        <v>0</v>
      </c>
      <c r="E835" s="21">
        <v>0</v>
      </c>
      <c r="F835" s="21">
        <v>0</v>
      </c>
      <c r="G835" s="21">
        <v>0</v>
      </c>
      <c r="H835" s="21">
        <v>0</v>
      </c>
      <c r="I835" s="21">
        <v>0</v>
      </c>
      <c r="J835" s="21">
        <v>0</v>
      </c>
      <c r="K835" s="40">
        <v>0</v>
      </c>
      <c r="L835" s="21">
        <v>0</v>
      </c>
      <c r="M835" s="3">
        <v>558.9</v>
      </c>
      <c r="N835" s="3">
        <v>2962170</v>
      </c>
      <c r="O835" s="21">
        <v>0</v>
      </c>
      <c r="P835" s="21">
        <v>0</v>
      </c>
      <c r="Q835" s="21">
        <v>0</v>
      </c>
      <c r="R835" s="21">
        <v>0</v>
      </c>
      <c r="S835" s="21">
        <v>0</v>
      </c>
      <c r="T835" s="21">
        <v>0</v>
      </c>
      <c r="U835" s="21">
        <v>200000</v>
      </c>
    </row>
    <row r="836" spans="1:22" ht="21.95" customHeight="1">
      <c r="A836" s="19" t="s">
        <v>1216</v>
      </c>
      <c r="B836" s="26" t="s">
        <v>124</v>
      </c>
      <c r="C836" s="1">
        <f t="shared" si="201"/>
        <v>1525000</v>
      </c>
      <c r="D836" s="21">
        <f t="shared" si="230"/>
        <v>0</v>
      </c>
      <c r="E836" s="21">
        <v>0</v>
      </c>
      <c r="F836" s="21">
        <v>0</v>
      </c>
      <c r="G836" s="21">
        <v>0</v>
      </c>
      <c r="H836" s="21">
        <v>0</v>
      </c>
      <c r="I836" s="21">
        <v>0</v>
      </c>
      <c r="J836" s="21">
        <v>0</v>
      </c>
      <c r="K836" s="40">
        <v>0</v>
      </c>
      <c r="L836" s="21">
        <v>0</v>
      </c>
      <c r="M836" s="3">
        <v>250</v>
      </c>
      <c r="N836" s="3">
        <v>1325000</v>
      </c>
      <c r="O836" s="21">
        <v>0</v>
      </c>
      <c r="P836" s="21">
        <v>0</v>
      </c>
      <c r="Q836" s="21">
        <v>0</v>
      </c>
      <c r="R836" s="21">
        <v>0</v>
      </c>
      <c r="S836" s="21">
        <v>0</v>
      </c>
      <c r="T836" s="21">
        <v>0</v>
      </c>
      <c r="U836" s="21">
        <v>200000</v>
      </c>
    </row>
    <row r="837" spans="1:22" ht="45" customHeight="1">
      <c r="A837" s="55" t="s">
        <v>131</v>
      </c>
      <c r="B837" s="55"/>
      <c r="C837" s="1">
        <f t="shared" si="201"/>
        <v>2002000</v>
      </c>
      <c r="D837" s="1">
        <f t="shared" ref="D837:U837" si="231">SUM(D838)</f>
        <v>0</v>
      </c>
      <c r="E837" s="1">
        <f t="shared" si="231"/>
        <v>0</v>
      </c>
      <c r="F837" s="1">
        <f t="shared" si="231"/>
        <v>0</v>
      </c>
      <c r="G837" s="1">
        <f t="shared" si="231"/>
        <v>0</v>
      </c>
      <c r="H837" s="1">
        <f t="shared" si="231"/>
        <v>0</v>
      </c>
      <c r="I837" s="1">
        <f t="shared" si="231"/>
        <v>0</v>
      </c>
      <c r="J837" s="1">
        <f t="shared" si="231"/>
        <v>0</v>
      </c>
      <c r="K837" s="42">
        <f t="shared" si="231"/>
        <v>0</v>
      </c>
      <c r="L837" s="1">
        <f t="shared" si="231"/>
        <v>0</v>
      </c>
      <c r="M837" s="1">
        <f t="shared" si="231"/>
        <v>340</v>
      </c>
      <c r="N837" s="1">
        <f t="shared" si="231"/>
        <v>1802000</v>
      </c>
      <c r="O837" s="1">
        <f t="shared" si="231"/>
        <v>0</v>
      </c>
      <c r="P837" s="1">
        <f t="shared" si="231"/>
        <v>0</v>
      </c>
      <c r="Q837" s="1">
        <f t="shared" si="231"/>
        <v>0</v>
      </c>
      <c r="R837" s="1">
        <f t="shared" si="231"/>
        <v>0</v>
      </c>
      <c r="S837" s="1">
        <f t="shared" si="231"/>
        <v>0</v>
      </c>
      <c r="T837" s="1">
        <f t="shared" si="231"/>
        <v>0</v>
      </c>
      <c r="U837" s="1">
        <f t="shared" si="231"/>
        <v>200000</v>
      </c>
    </row>
    <row r="838" spans="1:22" ht="21.95" customHeight="1">
      <c r="A838" s="19" t="s">
        <v>1217</v>
      </c>
      <c r="B838" s="35" t="s">
        <v>130</v>
      </c>
      <c r="C838" s="1">
        <f t="shared" ref="C838:C901" si="232">D838+L838+N838+P838+R838+S838+T838+U838</f>
        <v>2002000</v>
      </c>
      <c r="D838" s="21">
        <f t="shared" ref="D838" si="233">SUM(E838:J838)</f>
        <v>0</v>
      </c>
      <c r="E838" s="21">
        <v>0</v>
      </c>
      <c r="F838" s="21">
        <v>0</v>
      </c>
      <c r="G838" s="21">
        <v>0</v>
      </c>
      <c r="H838" s="21">
        <v>0</v>
      </c>
      <c r="I838" s="21">
        <v>0</v>
      </c>
      <c r="J838" s="21">
        <v>0</v>
      </c>
      <c r="K838" s="40">
        <v>0</v>
      </c>
      <c r="L838" s="21">
        <v>0</v>
      </c>
      <c r="M838" s="21">
        <v>340</v>
      </c>
      <c r="N838" s="21">
        <v>1802000</v>
      </c>
      <c r="O838" s="21">
        <v>0</v>
      </c>
      <c r="P838" s="21">
        <v>0</v>
      </c>
      <c r="Q838" s="21">
        <v>0</v>
      </c>
      <c r="R838" s="3">
        <v>0</v>
      </c>
      <c r="S838" s="21">
        <v>0</v>
      </c>
      <c r="T838" s="21">
        <v>0</v>
      </c>
      <c r="U838" s="21">
        <v>200000</v>
      </c>
    </row>
    <row r="839" spans="1:22" ht="45" customHeight="1">
      <c r="A839" s="55" t="s">
        <v>1534</v>
      </c>
      <c r="B839" s="55"/>
      <c r="C839" s="1">
        <f t="shared" si="232"/>
        <v>9897472.5</v>
      </c>
      <c r="D839" s="1">
        <f t="shared" ref="D839:U839" si="234">SUM(D840)</f>
        <v>2366160</v>
      </c>
      <c r="E839" s="1">
        <f t="shared" si="234"/>
        <v>345065</v>
      </c>
      <c r="F839" s="1">
        <f t="shared" si="234"/>
        <v>788720</v>
      </c>
      <c r="G839" s="1">
        <f t="shared" si="234"/>
        <v>345065</v>
      </c>
      <c r="H839" s="1">
        <f t="shared" si="234"/>
        <v>492950</v>
      </c>
      <c r="I839" s="1">
        <f t="shared" si="234"/>
        <v>394360</v>
      </c>
      <c r="J839" s="1">
        <f t="shared" si="234"/>
        <v>0</v>
      </c>
      <c r="K839" s="42">
        <f t="shared" si="234"/>
        <v>0</v>
      </c>
      <c r="L839" s="1">
        <f t="shared" si="234"/>
        <v>0</v>
      </c>
      <c r="M839" s="1">
        <f t="shared" si="234"/>
        <v>1072</v>
      </c>
      <c r="N839" s="1">
        <f t="shared" si="234"/>
        <v>5681600</v>
      </c>
      <c r="O839" s="1">
        <f t="shared" si="234"/>
        <v>0</v>
      </c>
      <c r="P839" s="1">
        <f t="shared" si="234"/>
        <v>0</v>
      </c>
      <c r="Q839" s="1">
        <f t="shared" si="234"/>
        <v>514.5</v>
      </c>
      <c r="R839" s="1">
        <f t="shared" si="234"/>
        <v>1340272.5</v>
      </c>
      <c r="S839" s="1">
        <f t="shared" si="234"/>
        <v>409440</v>
      </c>
      <c r="T839" s="1">
        <f t="shared" si="234"/>
        <v>0</v>
      </c>
      <c r="U839" s="1">
        <f t="shared" si="234"/>
        <v>100000</v>
      </c>
      <c r="V839" s="13">
        <f>C839</f>
        <v>9897472.5</v>
      </c>
    </row>
    <row r="840" spans="1:22" ht="21" customHeight="1">
      <c r="A840" s="19" t="s">
        <v>1218</v>
      </c>
      <c r="B840" s="24" t="s">
        <v>1535</v>
      </c>
      <c r="C840" s="1">
        <f t="shared" si="232"/>
        <v>9897472.5</v>
      </c>
      <c r="D840" s="21">
        <f t="shared" ref="D840" si="235">SUM(E840:J840)</f>
        <v>2366160</v>
      </c>
      <c r="E840" s="21">
        <f>350*985.9</f>
        <v>345065</v>
      </c>
      <c r="F840" s="21">
        <f>800*985.9</f>
        <v>788720</v>
      </c>
      <c r="G840" s="21">
        <f>350*985.9</f>
        <v>345065</v>
      </c>
      <c r="H840" s="21">
        <f>500*985.9</f>
        <v>492950</v>
      </c>
      <c r="I840" s="21">
        <f>400*985.9</f>
        <v>394360</v>
      </c>
      <c r="J840" s="21">
        <v>0</v>
      </c>
      <c r="K840" s="40">
        <v>0</v>
      </c>
      <c r="L840" s="21">
        <v>0</v>
      </c>
      <c r="M840" s="21">
        <v>1072</v>
      </c>
      <c r="N840" s="21">
        <v>5681600</v>
      </c>
      <c r="O840" s="21">
        <v>0</v>
      </c>
      <c r="P840" s="21">
        <v>0</v>
      </c>
      <c r="Q840" s="21">
        <v>514.5</v>
      </c>
      <c r="R840" s="3">
        <v>1340272.5</v>
      </c>
      <c r="S840" s="21">
        <v>409440</v>
      </c>
      <c r="T840" s="21">
        <v>0</v>
      </c>
      <c r="U840" s="21">
        <v>100000</v>
      </c>
    </row>
    <row r="841" spans="1:22" ht="45" customHeight="1">
      <c r="A841" s="55" t="s">
        <v>1935</v>
      </c>
      <c r="B841" s="55"/>
      <c r="C841" s="1">
        <f t="shared" si="232"/>
        <v>2632170</v>
      </c>
      <c r="D841" s="1">
        <f t="shared" ref="D841:U841" si="236">SUM(D842)</f>
        <v>0</v>
      </c>
      <c r="E841" s="1">
        <f t="shared" si="236"/>
        <v>0</v>
      </c>
      <c r="F841" s="1">
        <f t="shared" si="236"/>
        <v>0</v>
      </c>
      <c r="G841" s="1">
        <f t="shared" si="236"/>
        <v>0</v>
      </c>
      <c r="H841" s="1">
        <f t="shared" si="236"/>
        <v>0</v>
      </c>
      <c r="I841" s="1">
        <f t="shared" si="236"/>
        <v>0</v>
      </c>
      <c r="J841" s="1">
        <f t="shared" si="236"/>
        <v>0</v>
      </c>
      <c r="K841" s="42">
        <f t="shared" si="236"/>
        <v>0</v>
      </c>
      <c r="L841" s="1">
        <f t="shared" si="236"/>
        <v>0</v>
      </c>
      <c r="M841" s="1">
        <f t="shared" si="236"/>
        <v>458.9</v>
      </c>
      <c r="N841" s="1">
        <f t="shared" si="236"/>
        <v>2432170</v>
      </c>
      <c r="O841" s="1">
        <f t="shared" si="236"/>
        <v>0</v>
      </c>
      <c r="P841" s="1">
        <f t="shared" si="236"/>
        <v>0</v>
      </c>
      <c r="Q841" s="1">
        <f t="shared" si="236"/>
        <v>0</v>
      </c>
      <c r="R841" s="1">
        <f t="shared" si="236"/>
        <v>0</v>
      </c>
      <c r="S841" s="1">
        <f t="shared" si="236"/>
        <v>0</v>
      </c>
      <c r="T841" s="1">
        <f t="shared" si="236"/>
        <v>0</v>
      </c>
      <c r="U841" s="1">
        <f t="shared" si="236"/>
        <v>200000</v>
      </c>
      <c r="V841" s="13">
        <f>C841</f>
        <v>2632170</v>
      </c>
    </row>
    <row r="842" spans="1:22" ht="21" customHeight="1">
      <c r="A842" s="19" t="s">
        <v>1219</v>
      </c>
      <c r="B842" s="24" t="s">
        <v>135</v>
      </c>
      <c r="C842" s="1">
        <f t="shared" si="232"/>
        <v>2632170</v>
      </c>
      <c r="D842" s="21">
        <f t="shared" ref="D842" si="237">SUM(E842:J842)</f>
        <v>0</v>
      </c>
      <c r="E842" s="21">
        <v>0</v>
      </c>
      <c r="F842" s="21">
        <v>0</v>
      </c>
      <c r="G842" s="21">
        <v>0</v>
      </c>
      <c r="H842" s="21">
        <v>0</v>
      </c>
      <c r="I842" s="21">
        <v>0</v>
      </c>
      <c r="J842" s="21">
        <v>0</v>
      </c>
      <c r="K842" s="40">
        <v>0</v>
      </c>
      <c r="L842" s="21">
        <v>0</v>
      </c>
      <c r="M842" s="21">
        <v>458.9</v>
      </c>
      <c r="N842" s="21">
        <v>2432170</v>
      </c>
      <c r="O842" s="21">
        <v>0</v>
      </c>
      <c r="P842" s="21">
        <v>0</v>
      </c>
      <c r="Q842" s="21">
        <v>0</v>
      </c>
      <c r="R842" s="3">
        <v>0</v>
      </c>
      <c r="S842" s="21">
        <v>0</v>
      </c>
      <c r="T842" s="21">
        <v>0</v>
      </c>
      <c r="U842" s="21">
        <v>200000</v>
      </c>
    </row>
    <row r="843" spans="1:22" ht="45" customHeight="1">
      <c r="A843" s="55" t="s">
        <v>138</v>
      </c>
      <c r="B843" s="55"/>
      <c r="C843" s="1">
        <f t="shared" si="232"/>
        <v>1477300</v>
      </c>
      <c r="D843" s="1">
        <f t="shared" ref="D843:U843" si="238">SUM(D844)</f>
        <v>0</v>
      </c>
      <c r="E843" s="1">
        <f t="shared" si="238"/>
        <v>0</v>
      </c>
      <c r="F843" s="1">
        <f t="shared" si="238"/>
        <v>0</v>
      </c>
      <c r="G843" s="1">
        <f t="shared" si="238"/>
        <v>0</v>
      </c>
      <c r="H843" s="1">
        <f t="shared" si="238"/>
        <v>0</v>
      </c>
      <c r="I843" s="1">
        <f t="shared" si="238"/>
        <v>0</v>
      </c>
      <c r="J843" s="1">
        <f t="shared" si="238"/>
        <v>0</v>
      </c>
      <c r="K843" s="42">
        <f t="shared" si="238"/>
        <v>0</v>
      </c>
      <c r="L843" s="1">
        <f t="shared" si="238"/>
        <v>0</v>
      </c>
      <c r="M843" s="1">
        <f t="shared" si="238"/>
        <v>241</v>
      </c>
      <c r="N843" s="1">
        <f t="shared" si="238"/>
        <v>1277300</v>
      </c>
      <c r="O843" s="1">
        <f t="shared" si="238"/>
        <v>0</v>
      </c>
      <c r="P843" s="1">
        <f t="shared" si="238"/>
        <v>0</v>
      </c>
      <c r="Q843" s="1">
        <f t="shared" si="238"/>
        <v>0</v>
      </c>
      <c r="R843" s="1">
        <f t="shared" si="238"/>
        <v>0</v>
      </c>
      <c r="S843" s="1">
        <f t="shared" si="238"/>
        <v>0</v>
      </c>
      <c r="T843" s="1">
        <f t="shared" si="238"/>
        <v>0</v>
      </c>
      <c r="U843" s="1">
        <f t="shared" si="238"/>
        <v>200000</v>
      </c>
    </row>
    <row r="844" spans="1:22" ht="21" customHeight="1">
      <c r="A844" s="19" t="s">
        <v>1220</v>
      </c>
      <c r="B844" s="24" t="s">
        <v>137</v>
      </c>
      <c r="C844" s="1">
        <f t="shared" si="232"/>
        <v>1477300</v>
      </c>
      <c r="D844" s="21">
        <f t="shared" ref="D844" si="239">SUM(E844:J844)</f>
        <v>0</v>
      </c>
      <c r="E844" s="21">
        <v>0</v>
      </c>
      <c r="F844" s="21">
        <v>0</v>
      </c>
      <c r="G844" s="21">
        <v>0</v>
      </c>
      <c r="H844" s="21">
        <v>0</v>
      </c>
      <c r="I844" s="21">
        <v>0</v>
      </c>
      <c r="J844" s="21">
        <v>0</v>
      </c>
      <c r="K844" s="40">
        <v>0</v>
      </c>
      <c r="L844" s="21">
        <v>0</v>
      </c>
      <c r="M844" s="21">
        <v>241</v>
      </c>
      <c r="N844" s="21">
        <v>1277300</v>
      </c>
      <c r="O844" s="21">
        <v>0</v>
      </c>
      <c r="P844" s="21">
        <v>0</v>
      </c>
      <c r="Q844" s="21">
        <v>0</v>
      </c>
      <c r="R844" s="3">
        <v>0</v>
      </c>
      <c r="S844" s="21">
        <v>0</v>
      </c>
      <c r="T844" s="21">
        <v>0</v>
      </c>
      <c r="U844" s="21">
        <v>200000</v>
      </c>
    </row>
    <row r="845" spans="1:22" ht="45" customHeight="1">
      <c r="A845" s="55" t="s">
        <v>152</v>
      </c>
      <c r="B845" s="55"/>
      <c r="C845" s="1">
        <f t="shared" si="232"/>
        <v>3249520.6</v>
      </c>
      <c r="D845" s="1">
        <f t="shared" ref="D845:U845" si="240">SUM(D846)</f>
        <v>111779.5</v>
      </c>
      <c r="E845" s="1">
        <f t="shared" si="240"/>
        <v>111779.5</v>
      </c>
      <c r="F845" s="1">
        <f t="shared" si="240"/>
        <v>0</v>
      </c>
      <c r="G845" s="1">
        <f t="shared" si="240"/>
        <v>0</v>
      </c>
      <c r="H845" s="1">
        <f t="shared" si="240"/>
        <v>0</v>
      </c>
      <c r="I845" s="1">
        <f t="shared" si="240"/>
        <v>0</v>
      </c>
      <c r="J845" s="1">
        <f t="shared" si="240"/>
        <v>0</v>
      </c>
      <c r="K845" s="42">
        <f t="shared" si="240"/>
        <v>0</v>
      </c>
      <c r="L845" s="1">
        <f t="shared" si="240"/>
        <v>0</v>
      </c>
      <c r="M845" s="1">
        <f t="shared" si="240"/>
        <v>283</v>
      </c>
      <c r="N845" s="1">
        <f t="shared" si="240"/>
        <v>1499900</v>
      </c>
      <c r="O845" s="1">
        <f t="shared" si="240"/>
        <v>126.2</v>
      </c>
      <c r="P845" s="1">
        <f t="shared" si="240"/>
        <v>151440</v>
      </c>
      <c r="Q845" s="1">
        <f t="shared" si="240"/>
        <v>493.82</v>
      </c>
      <c r="R845" s="1">
        <f t="shared" si="240"/>
        <v>1286401.1000000001</v>
      </c>
      <c r="S845" s="1">
        <f t="shared" si="240"/>
        <v>0</v>
      </c>
      <c r="T845" s="1">
        <f t="shared" si="240"/>
        <v>0</v>
      </c>
      <c r="U845" s="1">
        <f t="shared" si="240"/>
        <v>200000</v>
      </c>
      <c r="V845" s="13">
        <f>C845</f>
        <v>3249520.6</v>
      </c>
    </row>
    <row r="846" spans="1:22" ht="21" customHeight="1">
      <c r="A846" s="19" t="s">
        <v>1221</v>
      </c>
      <c r="B846" s="36" t="s">
        <v>153</v>
      </c>
      <c r="C846" s="1">
        <f t="shared" si="232"/>
        <v>3249520.6</v>
      </c>
      <c r="D846" s="21">
        <f t="shared" ref="D846" si="241">SUM(E846:J846)</f>
        <v>111779.5</v>
      </c>
      <c r="E846" s="21">
        <f>350*319.37</f>
        <v>111779.5</v>
      </c>
      <c r="F846" s="21">
        <f>800*0</f>
        <v>0</v>
      </c>
      <c r="G846" s="21">
        <f>350*0</f>
        <v>0</v>
      </c>
      <c r="H846" s="21">
        <f>500*0</f>
        <v>0</v>
      </c>
      <c r="I846" s="21">
        <f>400*0</f>
        <v>0</v>
      </c>
      <c r="J846" s="21">
        <v>0</v>
      </c>
      <c r="K846" s="40">
        <v>0</v>
      </c>
      <c r="L846" s="21">
        <v>0</v>
      </c>
      <c r="M846" s="21">
        <v>283</v>
      </c>
      <c r="N846" s="21">
        <v>1499900</v>
      </c>
      <c r="O846" s="21">
        <v>126.2</v>
      </c>
      <c r="P846" s="21">
        <v>151440</v>
      </c>
      <c r="Q846" s="21">
        <v>493.82</v>
      </c>
      <c r="R846" s="21">
        <v>1286401.1000000001</v>
      </c>
      <c r="S846" s="21">
        <v>0</v>
      </c>
      <c r="T846" s="21">
        <v>0</v>
      </c>
      <c r="U846" s="21">
        <v>200000</v>
      </c>
    </row>
    <row r="847" spans="1:22" ht="45" customHeight="1">
      <c r="A847" s="55" t="s">
        <v>154</v>
      </c>
      <c r="B847" s="55"/>
      <c r="C847" s="1">
        <f t="shared" si="232"/>
        <v>10820042.199999999</v>
      </c>
      <c r="D847" s="1">
        <f t="shared" ref="D847:U847" si="242">SUM(D848:D851)</f>
        <v>979830.00000000012</v>
      </c>
      <c r="E847" s="1">
        <f t="shared" si="242"/>
        <v>180495.00000000003</v>
      </c>
      <c r="F847" s="1">
        <f t="shared" si="242"/>
        <v>412560.00000000006</v>
      </c>
      <c r="G847" s="1">
        <f t="shared" si="242"/>
        <v>180495.00000000003</v>
      </c>
      <c r="H847" s="1">
        <f t="shared" si="242"/>
        <v>0</v>
      </c>
      <c r="I847" s="1">
        <f t="shared" si="242"/>
        <v>206280.00000000003</v>
      </c>
      <c r="J847" s="1">
        <f t="shared" si="242"/>
        <v>0</v>
      </c>
      <c r="K847" s="42">
        <f t="shared" si="242"/>
        <v>0</v>
      </c>
      <c r="L847" s="1">
        <f t="shared" si="242"/>
        <v>0</v>
      </c>
      <c r="M847" s="1">
        <f t="shared" si="242"/>
        <v>1071.1300000000001</v>
      </c>
      <c r="N847" s="1">
        <f t="shared" si="242"/>
        <v>5676989</v>
      </c>
      <c r="O847" s="1">
        <f t="shared" si="242"/>
        <v>0</v>
      </c>
      <c r="P847" s="1">
        <f t="shared" si="242"/>
        <v>0</v>
      </c>
      <c r="Q847" s="1">
        <f t="shared" si="242"/>
        <v>1367.84</v>
      </c>
      <c r="R847" s="1">
        <f t="shared" si="242"/>
        <v>3563223.2</v>
      </c>
      <c r="S847" s="1">
        <f t="shared" si="242"/>
        <v>0</v>
      </c>
      <c r="T847" s="1">
        <f t="shared" si="242"/>
        <v>0</v>
      </c>
      <c r="U847" s="1">
        <f t="shared" si="242"/>
        <v>600000</v>
      </c>
    </row>
    <row r="848" spans="1:22" ht="21" customHeight="1">
      <c r="A848" s="19" t="s">
        <v>1222</v>
      </c>
      <c r="B848" s="24" t="s">
        <v>158</v>
      </c>
      <c r="C848" s="1">
        <f t="shared" si="232"/>
        <v>6633195.2000000002</v>
      </c>
      <c r="D848" s="21">
        <f t="shared" ref="D848:D851" si="243">SUM(E848:J848)</f>
        <v>0</v>
      </c>
      <c r="E848" s="21">
        <v>0</v>
      </c>
      <c r="F848" s="21">
        <v>0</v>
      </c>
      <c r="G848" s="21">
        <v>0</v>
      </c>
      <c r="H848" s="21">
        <v>0</v>
      </c>
      <c r="I848" s="21">
        <v>0</v>
      </c>
      <c r="J848" s="21">
        <v>0</v>
      </c>
      <c r="K848" s="40">
        <v>0</v>
      </c>
      <c r="L848" s="21">
        <v>0</v>
      </c>
      <c r="M848" s="21">
        <v>579.24</v>
      </c>
      <c r="N848" s="21">
        <v>3069972</v>
      </c>
      <c r="O848" s="21">
        <v>0</v>
      </c>
      <c r="P848" s="21">
        <v>0</v>
      </c>
      <c r="Q848" s="21">
        <v>1367.84</v>
      </c>
      <c r="R848" s="3">
        <v>3563223.2</v>
      </c>
      <c r="S848" s="21">
        <v>0</v>
      </c>
      <c r="T848" s="21">
        <v>0</v>
      </c>
      <c r="U848" s="21">
        <v>0</v>
      </c>
    </row>
    <row r="849" spans="1:22" ht="21" customHeight="1">
      <c r="A849" s="19" t="s">
        <v>1223</v>
      </c>
      <c r="B849" s="24" t="s">
        <v>160</v>
      </c>
      <c r="C849" s="1">
        <f t="shared" si="232"/>
        <v>1458644</v>
      </c>
      <c r="D849" s="21">
        <f t="shared" si="243"/>
        <v>0</v>
      </c>
      <c r="E849" s="21">
        <v>0</v>
      </c>
      <c r="F849" s="21">
        <v>0</v>
      </c>
      <c r="G849" s="21">
        <v>0</v>
      </c>
      <c r="H849" s="21">
        <v>0</v>
      </c>
      <c r="I849" s="21">
        <v>0</v>
      </c>
      <c r="J849" s="21">
        <v>0</v>
      </c>
      <c r="K849" s="40">
        <v>0</v>
      </c>
      <c r="L849" s="21">
        <v>0</v>
      </c>
      <c r="M849" s="21">
        <v>237.48</v>
      </c>
      <c r="N849" s="21">
        <v>1258644</v>
      </c>
      <c r="O849" s="21">
        <v>0</v>
      </c>
      <c r="P849" s="21">
        <v>0</v>
      </c>
      <c r="Q849" s="21">
        <v>0</v>
      </c>
      <c r="R849" s="3">
        <v>0</v>
      </c>
      <c r="S849" s="21">
        <v>0</v>
      </c>
      <c r="T849" s="21">
        <v>0</v>
      </c>
      <c r="U849" s="21">
        <v>200000</v>
      </c>
    </row>
    <row r="850" spans="1:22" ht="21" customHeight="1">
      <c r="A850" s="19" t="s">
        <v>1224</v>
      </c>
      <c r="B850" s="24" t="s">
        <v>161</v>
      </c>
      <c r="C850" s="1">
        <f t="shared" si="232"/>
        <v>1179830</v>
      </c>
      <c r="D850" s="21">
        <f t="shared" si="243"/>
        <v>979830.00000000012</v>
      </c>
      <c r="E850" s="21">
        <f>350*515.7</f>
        <v>180495.00000000003</v>
      </c>
      <c r="F850" s="21">
        <f>800*515.7</f>
        <v>412560.00000000006</v>
      </c>
      <c r="G850" s="21">
        <f>350*515.7</f>
        <v>180495.00000000003</v>
      </c>
      <c r="H850" s="21">
        <f>500*0</f>
        <v>0</v>
      </c>
      <c r="I850" s="21">
        <f>400*515.7</f>
        <v>206280.00000000003</v>
      </c>
      <c r="J850" s="21">
        <v>0</v>
      </c>
      <c r="K850" s="40">
        <v>0</v>
      </c>
      <c r="L850" s="21">
        <v>0</v>
      </c>
      <c r="M850" s="21">
        <v>0</v>
      </c>
      <c r="N850" s="21">
        <v>0</v>
      </c>
      <c r="O850" s="21">
        <v>0</v>
      </c>
      <c r="P850" s="21">
        <v>0</v>
      </c>
      <c r="Q850" s="21">
        <v>0</v>
      </c>
      <c r="R850" s="3">
        <v>0</v>
      </c>
      <c r="S850" s="21">
        <v>0</v>
      </c>
      <c r="T850" s="21">
        <v>0</v>
      </c>
      <c r="U850" s="21">
        <v>200000</v>
      </c>
    </row>
    <row r="851" spans="1:22" ht="21" customHeight="1">
      <c r="A851" s="19" t="s">
        <v>1225</v>
      </c>
      <c r="B851" s="24" t="s">
        <v>162</v>
      </c>
      <c r="C851" s="1">
        <f t="shared" si="232"/>
        <v>1548373</v>
      </c>
      <c r="D851" s="21">
        <f t="shared" si="243"/>
        <v>0</v>
      </c>
      <c r="E851" s="21">
        <v>0</v>
      </c>
      <c r="F851" s="21">
        <v>0</v>
      </c>
      <c r="G851" s="21">
        <v>0</v>
      </c>
      <c r="H851" s="21">
        <v>0</v>
      </c>
      <c r="I851" s="21">
        <v>0</v>
      </c>
      <c r="J851" s="21">
        <v>0</v>
      </c>
      <c r="K851" s="40">
        <v>0</v>
      </c>
      <c r="L851" s="21">
        <v>0</v>
      </c>
      <c r="M851" s="21">
        <v>254.41</v>
      </c>
      <c r="N851" s="21">
        <v>1348373</v>
      </c>
      <c r="O851" s="21">
        <v>0</v>
      </c>
      <c r="P851" s="21">
        <v>0</v>
      </c>
      <c r="Q851" s="21">
        <v>0</v>
      </c>
      <c r="R851" s="3">
        <v>0</v>
      </c>
      <c r="S851" s="21">
        <v>0</v>
      </c>
      <c r="T851" s="21">
        <v>0</v>
      </c>
      <c r="U851" s="21">
        <v>200000</v>
      </c>
    </row>
    <row r="852" spans="1:22" ht="45" customHeight="1">
      <c r="A852" s="55" t="s">
        <v>1966</v>
      </c>
      <c r="B852" s="55"/>
      <c r="C852" s="1">
        <f t="shared" si="232"/>
        <v>1467442</v>
      </c>
      <c r="D852" s="1">
        <f t="shared" ref="D852:U852" si="244">SUM(D853)</f>
        <v>0</v>
      </c>
      <c r="E852" s="1">
        <f t="shared" si="244"/>
        <v>0</v>
      </c>
      <c r="F852" s="1">
        <f t="shared" si="244"/>
        <v>0</v>
      </c>
      <c r="G852" s="1">
        <f t="shared" si="244"/>
        <v>0</v>
      </c>
      <c r="H852" s="1">
        <f t="shared" si="244"/>
        <v>0</v>
      </c>
      <c r="I852" s="1">
        <f t="shared" si="244"/>
        <v>0</v>
      </c>
      <c r="J852" s="1">
        <f t="shared" si="244"/>
        <v>0</v>
      </c>
      <c r="K852" s="42">
        <f t="shared" si="244"/>
        <v>0</v>
      </c>
      <c r="L852" s="1">
        <f t="shared" si="244"/>
        <v>0</v>
      </c>
      <c r="M852" s="1">
        <f t="shared" si="244"/>
        <v>239.14</v>
      </c>
      <c r="N852" s="1">
        <f t="shared" si="244"/>
        <v>1267442</v>
      </c>
      <c r="O852" s="1">
        <f t="shared" si="244"/>
        <v>0</v>
      </c>
      <c r="P852" s="1">
        <f t="shared" si="244"/>
        <v>0</v>
      </c>
      <c r="Q852" s="1">
        <f t="shared" si="244"/>
        <v>0</v>
      </c>
      <c r="R852" s="1">
        <f t="shared" si="244"/>
        <v>0</v>
      </c>
      <c r="S852" s="1">
        <f t="shared" si="244"/>
        <v>0</v>
      </c>
      <c r="T852" s="1">
        <f t="shared" si="244"/>
        <v>0</v>
      </c>
      <c r="U852" s="1">
        <f t="shared" si="244"/>
        <v>200000</v>
      </c>
    </row>
    <row r="853" spans="1:22" ht="21.95" customHeight="1">
      <c r="A853" s="19" t="s">
        <v>1226</v>
      </c>
      <c r="B853" s="24" t="s">
        <v>166</v>
      </c>
      <c r="C853" s="1">
        <f t="shared" si="232"/>
        <v>1467442</v>
      </c>
      <c r="D853" s="21">
        <f t="shared" ref="D853" si="245">SUM(E853:J853)</f>
        <v>0</v>
      </c>
      <c r="E853" s="21">
        <v>0</v>
      </c>
      <c r="F853" s="21">
        <v>0</v>
      </c>
      <c r="G853" s="21">
        <v>0</v>
      </c>
      <c r="H853" s="21">
        <v>0</v>
      </c>
      <c r="I853" s="21">
        <v>0</v>
      </c>
      <c r="J853" s="21">
        <v>0</v>
      </c>
      <c r="K853" s="40">
        <v>0</v>
      </c>
      <c r="L853" s="21">
        <v>0</v>
      </c>
      <c r="M853" s="21">
        <v>239.14</v>
      </c>
      <c r="N853" s="21">
        <v>1267442</v>
      </c>
      <c r="O853" s="21">
        <v>0</v>
      </c>
      <c r="P853" s="21">
        <v>0</v>
      </c>
      <c r="Q853" s="21">
        <v>0</v>
      </c>
      <c r="R853" s="3">
        <v>0</v>
      </c>
      <c r="S853" s="21">
        <v>0</v>
      </c>
      <c r="T853" s="21">
        <v>0</v>
      </c>
      <c r="U853" s="21">
        <v>200000</v>
      </c>
    </row>
    <row r="854" spans="1:22" ht="45" customHeight="1">
      <c r="A854" s="55" t="s">
        <v>169</v>
      </c>
      <c r="B854" s="55"/>
      <c r="C854" s="1">
        <f t="shared" si="232"/>
        <v>84179958</v>
      </c>
      <c r="D854" s="1">
        <f t="shared" ref="D854:U854" si="246">SUM(D855:D869)</f>
        <v>22224585</v>
      </c>
      <c r="E854" s="1">
        <f t="shared" si="246"/>
        <v>4633160</v>
      </c>
      <c r="F854" s="1">
        <f t="shared" si="246"/>
        <v>9145200</v>
      </c>
      <c r="G854" s="1">
        <f t="shared" si="246"/>
        <v>3873625</v>
      </c>
      <c r="H854" s="1">
        <f t="shared" si="246"/>
        <v>0</v>
      </c>
      <c r="I854" s="1">
        <f t="shared" si="246"/>
        <v>4572600</v>
      </c>
      <c r="J854" s="1">
        <f t="shared" si="246"/>
        <v>0</v>
      </c>
      <c r="K854" s="42">
        <f t="shared" si="246"/>
        <v>0</v>
      </c>
      <c r="L854" s="1">
        <f t="shared" si="246"/>
        <v>0</v>
      </c>
      <c r="M854" s="1">
        <f t="shared" si="246"/>
        <v>7297.6</v>
      </c>
      <c r="N854" s="1">
        <f t="shared" si="246"/>
        <v>36979080</v>
      </c>
      <c r="O854" s="1">
        <f t="shared" si="246"/>
        <v>507.1</v>
      </c>
      <c r="P854" s="1">
        <f t="shared" si="246"/>
        <v>608520</v>
      </c>
      <c r="Q854" s="1">
        <f t="shared" si="246"/>
        <v>8202.6</v>
      </c>
      <c r="R854" s="1">
        <f t="shared" si="246"/>
        <v>21367773</v>
      </c>
      <c r="S854" s="1">
        <f t="shared" si="246"/>
        <v>0</v>
      </c>
      <c r="T854" s="1">
        <f t="shared" si="246"/>
        <v>0</v>
      </c>
      <c r="U854" s="1">
        <f t="shared" si="246"/>
        <v>3000000</v>
      </c>
    </row>
    <row r="855" spans="1:22" ht="21.95" customHeight="1">
      <c r="A855" s="19" t="s">
        <v>1227</v>
      </c>
      <c r="B855" s="26" t="s">
        <v>199</v>
      </c>
      <c r="C855" s="1">
        <f t="shared" si="232"/>
        <v>5810443.5</v>
      </c>
      <c r="D855" s="21">
        <f t="shared" ref="D855:D869" si="247">SUM(E855:J855)</f>
        <v>0</v>
      </c>
      <c r="E855" s="21">
        <v>0</v>
      </c>
      <c r="F855" s="21">
        <v>0</v>
      </c>
      <c r="G855" s="21">
        <v>0</v>
      </c>
      <c r="H855" s="21">
        <v>0</v>
      </c>
      <c r="I855" s="21">
        <v>0</v>
      </c>
      <c r="J855" s="21">
        <v>0</v>
      </c>
      <c r="K855" s="40">
        <v>0</v>
      </c>
      <c r="L855" s="21">
        <v>0</v>
      </c>
      <c r="M855" s="21">
        <v>735.8</v>
      </c>
      <c r="N855" s="21">
        <f t="shared" ref="N855:N862" si="248">M855*5300</f>
        <v>3899739.9999999995</v>
      </c>
      <c r="O855" s="21">
        <v>0</v>
      </c>
      <c r="P855" s="21">
        <f>O855*410</f>
        <v>0</v>
      </c>
      <c r="Q855" s="21">
        <v>656.7</v>
      </c>
      <c r="R855" s="21">
        <f t="shared" ref="R855:R862" si="249">Q855*2605</f>
        <v>1710703.5000000002</v>
      </c>
      <c r="S855" s="21">
        <f>S897</f>
        <v>0</v>
      </c>
      <c r="T855" s="21">
        <v>0</v>
      </c>
      <c r="U855" s="21">
        <v>200000</v>
      </c>
    </row>
    <row r="856" spans="1:22" ht="21.95" customHeight="1">
      <c r="A856" s="19" t="s">
        <v>1228</v>
      </c>
      <c r="B856" s="26" t="s">
        <v>200</v>
      </c>
      <c r="C856" s="1">
        <f t="shared" si="232"/>
        <v>5384787.5</v>
      </c>
      <c r="D856" s="21">
        <f t="shared" si="247"/>
        <v>1752180</v>
      </c>
      <c r="E856" s="21">
        <f>350*922.2</f>
        <v>322770</v>
      </c>
      <c r="F856" s="21">
        <f>800*922.2</f>
        <v>737760</v>
      </c>
      <c r="G856" s="21">
        <f>350*922.2</f>
        <v>322770</v>
      </c>
      <c r="H856" s="21">
        <f>500*0</f>
        <v>0</v>
      </c>
      <c r="I856" s="21">
        <f>400*922.2</f>
        <v>368880</v>
      </c>
      <c r="J856" s="21">
        <v>0</v>
      </c>
      <c r="K856" s="40">
        <v>0</v>
      </c>
      <c r="L856" s="21">
        <v>0</v>
      </c>
      <c r="M856" s="21">
        <v>306.8</v>
      </c>
      <c r="N856" s="21">
        <f t="shared" si="248"/>
        <v>1626040</v>
      </c>
      <c r="O856" s="21">
        <v>0</v>
      </c>
      <c r="P856" s="21">
        <f>O856*410</f>
        <v>0</v>
      </c>
      <c r="Q856" s="21">
        <v>693.5</v>
      </c>
      <c r="R856" s="21">
        <f t="shared" si="249"/>
        <v>1806567.5</v>
      </c>
      <c r="S856" s="21">
        <f>S899</f>
        <v>0</v>
      </c>
      <c r="T856" s="21">
        <v>0</v>
      </c>
      <c r="U856" s="21">
        <v>200000</v>
      </c>
    </row>
    <row r="857" spans="1:22" ht="21.95" customHeight="1">
      <c r="A857" s="19" t="s">
        <v>1229</v>
      </c>
      <c r="B857" s="26" t="s">
        <v>201</v>
      </c>
      <c r="C857" s="1">
        <f t="shared" si="232"/>
        <v>6274938</v>
      </c>
      <c r="D857" s="21">
        <f t="shared" si="247"/>
        <v>519540.00000000006</v>
      </c>
      <c r="E857" s="21">
        <f>350*1484.4</f>
        <v>519540.00000000006</v>
      </c>
      <c r="F857" s="21">
        <f>800*0</f>
        <v>0</v>
      </c>
      <c r="G857" s="21">
        <f>350*0</f>
        <v>0</v>
      </c>
      <c r="H857" s="21">
        <f>500*0</f>
        <v>0</v>
      </c>
      <c r="I857" s="21">
        <f>400*0</f>
        <v>0</v>
      </c>
      <c r="J857" s="21">
        <v>0</v>
      </c>
      <c r="K857" s="40">
        <v>0</v>
      </c>
      <c r="L857" s="21">
        <v>0</v>
      </c>
      <c r="M857" s="21">
        <v>688.6</v>
      </c>
      <c r="N857" s="21">
        <f t="shared" si="248"/>
        <v>3649580</v>
      </c>
      <c r="O857" s="21">
        <v>0</v>
      </c>
      <c r="P857" s="21">
        <f>O857*410</f>
        <v>0</v>
      </c>
      <c r="Q857" s="21">
        <v>731.6</v>
      </c>
      <c r="R857" s="21">
        <f t="shared" si="249"/>
        <v>1905818</v>
      </c>
      <c r="S857" s="21">
        <f t="shared" ref="S857:S861" si="250">S901</f>
        <v>0</v>
      </c>
      <c r="T857" s="21">
        <v>0</v>
      </c>
      <c r="U857" s="21">
        <v>200000</v>
      </c>
      <c r="V857" s="13"/>
    </row>
    <row r="858" spans="1:22" ht="21.95" customHeight="1">
      <c r="A858" s="19" t="s">
        <v>1230</v>
      </c>
      <c r="B858" s="26" t="s">
        <v>202</v>
      </c>
      <c r="C858" s="1">
        <f t="shared" si="232"/>
        <v>5858961.5</v>
      </c>
      <c r="D858" s="21">
        <f t="shared" si="247"/>
        <v>2290300</v>
      </c>
      <c r="E858" s="21">
        <f>350*1238</f>
        <v>433300</v>
      </c>
      <c r="F858" s="21">
        <f>800*1238</f>
        <v>990400</v>
      </c>
      <c r="G858" s="21">
        <f>300*1238</f>
        <v>371400</v>
      </c>
      <c r="H858" s="21">
        <v>0</v>
      </c>
      <c r="I858" s="21">
        <f>400*1238</f>
        <v>495200</v>
      </c>
      <c r="J858" s="21">
        <f>350*0</f>
        <v>0</v>
      </c>
      <c r="K858" s="40">
        <v>0</v>
      </c>
      <c r="L858" s="21">
        <v>0</v>
      </c>
      <c r="M858" s="21">
        <v>476.2</v>
      </c>
      <c r="N858" s="21">
        <f t="shared" si="248"/>
        <v>2523860</v>
      </c>
      <c r="O858" s="21">
        <v>0</v>
      </c>
      <c r="P858" s="21">
        <f>O858*410</f>
        <v>0</v>
      </c>
      <c r="Q858" s="21">
        <v>324.3</v>
      </c>
      <c r="R858" s="21">
        <f t="shared" si="249"/>
        <v>844801.5</v>
      </c>
      <c r="S858" s="21">
        <f t="shared" si="250"/>
        <v>0</v>
      </c>
      <c r="T858" s="21">
        <v>0</v>
      </c>
      <c r="U858" s="21">
        <v>200000</v>
      </c>
    </row>
    <row r="859" spans="1:22" ht="21.95" customHeight="1">
      <c r="A859" s="19" t="s">
        <v>1231</v>
      </c>
      <c r="B859" s="26" t="s">
        <v>203</v>
      </c>
      <c r="C859" s="1">
        <f t="shared" si="232"/>
        <v>6353170</v>
      </c>
      <c r="D859" s="21">
        <f t="shared" si="247"/>
        <v>2423500</v>
      </c>
      <c r="E859" s="21">
        <f>350*1310</f>
        <v>458500</v>
      </c>
      <c r="F859" s="21">
        <f>800*1310</f>
        <v>1048000</v>
      </c>
      <c r="G859" s="21">
        <f>300*1310</f>
        <v>393000</v>
      </c>
      <c r="H859" s="21">
        <v>0</v>
      </c>
      <c r="I859" s="21">
        <f>400*1310</f>
        <v>524000</v>
      </c>
      <c r="J859" s="21">
        <f>350*0</f>
        <v>0</v>
      </c>
      <c r="K859" s="40">
        <v>0</v>
      </c>
      <c r="L859" s="21">
        <v>0</v>
      </c>
      <c r="M859" s="21">
        <v>582.79999999999995</v>
      </c>
      <c r="N859" s="21">
        <f t="shared" si="248"/>
        <v>3088839.9999999995</v>
      </c>
      <c r="O859" s="21">
        <v>0</v>
      </c>
      <c r="P859" s="21">
        <f>O859*410</f>
        <v>0</v>
      </c>
      <c r="Q859" s="21">
        <v>246</v>
      </c>
      <c r="R859" s="21">
        <f t="shared" si="249"/>
        <v>640830</v>
      </c>
      <c r="S859" s="21">
        <f t="shared" si="250"/>
        <v>0</v>
      </c>
      <c r="T859" s="21">
        <v>0</v>
      </c>
      <c r="U859" s="21">
        <v>200000</v>
      </c>
    </row>
    <row r="860" spans="1:22" ht="21.95" customHeight="1">
      <c r="A860" s="19" t="s">
        <v>1232</v>
      </c>
      <c r="B860" s="26" t="s">
        <v>204</v>
      </c>
      <c r="C860" s="1">
        <f t="shared" si="232"/>
        <v>2043351.5</v>
      </c>
      <c r="D860" s="21">
        <f t="shared" si="247"/>
        <v>112595</v>
      </c>
      <c r="E860" s="21">
        <f>350*321.7</f>
        <v>112595</v>
      </c>
      <c r="F860" s="21">
        <f>800*0</f>
        <v>0</v>
      </c>
      <c r="G860" s="21">
        <f>350*0</f>
        <v>0</v>
      </c>
      <c r="H860" s="21">
        <f>500*0</f>
        <v>0</v>
      </c>
      <c r="I860" s="21">
        <f>400*0</f>
        <v>0</v>
      </c>
      <c r="J860" s="21">
        <v>0</v>
      </c>
      <c r="K860" s="40">
        <v>0</v>
      </c>
      <c r="L860" s="21">
        <v>0</v>
      </c>
      <c r="M860" s="21">
        <v>176.5</v>
      </c>
      <c r="N860" s="21">
        <f t="shared" si="248"/>
        <v>935450</v>
      </c>
      <c r="O860" s="21">
        <v>0</v>
      </c>
      <c r="P860" s="21">
        <v>0</v>
      </c>
      <c r="Q860" s="21">
        <v>305.3</v>
      </c>
      <c r="R860" s="21">
        <f t="shared" si="249"/>
        <v>795306.5</v>
      </c>
      <c r="S860" s="21">
        <f t="shared" si="250"/>
        <v>0</v>
      </c>
      <c r="T860" s="21">
        <v>0</v>
      </c>
      <c r="U860" s="21">
        <v>200000</v>
      </c>
    </row>
    <row r="861" spans="1:22" ht="21.95" customHeight="1">
      <c r="A861" s="19" t="s">
        <v>1233</v>
      </c>
      <c r="B861" s="26" t="s">
        <v>205</v>
      </c>
      <c r="C861" s="1">
        <f t="shared" si="232"/>
        <v>10738728</v>
      </c>
      <c r="D861" s="21">
        <f t="shared" si="247"/>
        <v>4150929.9999999995</v>
      </c>
      <c r="E861" s="21">
        <f>350*2184.7</f>
        <v>764644.99999999988</v>
      </c>
      <c r="F861" s="21">
        <f>800*2184.7</f>
        <v>1747759.9999999998</v>
      </c>
      <c r="G861" s="21">
        <f>350*2184.7</f>
        <v>764644.99999999988</v>
      </c>
      <c r="H861" s="21">
        <f>500*0</f>
        <v>0</v>
      </c>
      <c r="I861" s="21">
        <f>400*2184.7</f>
        <v>873879.99999999988</v>
      </c>
      <c r="J861" s="21">
        <v>0</v>
      </c>
      <c r="K861" s="40">
        <v>0</v>
      </c>
      <c r="L861" s="21">
        <v>0</v>
      </c>
      <c r="M861" s="21">
        <v>657.9</v>
      </c>
      <c r="N861" s="21">
        <f t="shared" si="248"/>
        <v>3486870</v>
      </c>
      <c r="O861" s="21">
        <v>0</v>
      </c>
      <c r="P861" s="21">
        <v>0</v>
      </c>
      <c r="Q861" s="21">
        <v>1113.5999999999999</v>
      </c>
      <c r="R861" s="21">
        <f t="shared" si="249"/>
        <v>2900927.9999999995</v>
      </c>
      <c r="S861" s="21">
        <f t="shared" si="250"/>
        <v>0</v>
      </c>
      <c r="T861" s="21">
        <v>0</v>
      </c>
      <c r="U861" s="21">
        <v>200000</v>
      </c>
    </row>
    <row r="862" spans="1:22" ht="21.95" customHeight="1">
      <c r="A862" s="19" t="s">
        <v>1234</v>
      </c>
      <c r="B862" s="26" t="s">
        <v>206</v>
      </c>
      <c r="C862" s="1">
        <f t="shared" si="232"/>
        <v>6828814.5</v>
      </c>
      <c r="D862" s="21">
        <f t="shared" si="247"/>
        <v>1847750</v>
      </c>
      <c r="E862" s="21">
        <f>350*972.5</f>
        <v>340375</v>
      </c>
      <c r="F862" s="21">
        <f>800*972.5</f>
        <v>778000</v>
      </c>
      <c r="G862" s="21">
        <f>350*972.5</f>
        <v>340375</v>
      </c>
      <c r="H862" s="21">
        <f>500*0</f>
        <v>0</v>
      </c>
      <c r="I862" s="21">
        <f>400*972.5</f>
        <v>389000</v>
      </c>
      <c r="J862" s="21">
        <v>0</v>
      </c>
      <c r="K862" s="40">
        <v>0</v>
      </c>
      <c r="L862" s="21">
        <v>0</v>
      </c>
      <c r="M862" s="21">
        <v>620.70000000000005</v>
      </c>
      <c r="N862" s="21">
        <f t="shared" si="248"/>
        <v>3289710.0000000005</v>
      </c>
      <c r="O862" s="21">
        <v>507.1</v>
      </c>
      <c r="P862" s="21">
        <f>O862*1200</f>
        <v>608520</v>
      </c>
      <c r="Q862" s="21">
        <v>338.9</v>
      </c>
      <c r="R862" s="21">
        <f t="shared" si="249"/>
        <v>882834.49999999988</v>
      </c>
      <c r="S862" s="21">
        <v>0</v>
      </c>
      <c r="T862" s="21">
        <v>0</v>
      </c>
      <c r="U862" s="21">
        <v>200000</v>
      </c>
    </row>
    <row r="863" spans="1:22" ht="21.95" customHeight="1">
      <c r="A863" s="19" t="s">
        <v>1235</v>
      </c>
      <c r="B863" s="26" t="s">
        <v>207</v>
      </c>
      <c r="C863" s="1">
        <f t="shared" si="232"/>
        <v>200000</v>
      </c>
      <c r="D863" s="21">
        <f t="shared" si="247"/>
        <v>0</v>
      </c>
      <c r="E863" s="21">
        <v>0</v>
      </c>
      <c r="F863" s="21">
        <v>0</v>
      </c>
      <c r="G863" s="21">
        <v>0</v>
      </c>
      <c r="H863" s="21">
        <v>0</v>
      </c>
      <c r="I863" s="21">
        <v>0</v>
      </c>
      <c r="J863" s="21">
        <v>0</v>
      </c>
      <c r="K863" s="40">
        <v>0</v>
      </c>
      <c r="L863" s="21">
        <v>0</v>
      </c>
      <c r="M863" s="21">
        <v>0</v>
      </c>
      <c r="N863" s="21">
        <v>0</v>
      </c>
      <c r="O863" s="21">
        <v>0</v>
      </c>
      <c r="P863" s="21">
        <v>0</v>
      </c>
      <c r="Q863" s="21">
        <v>0</v>
      </c>
      <c r="R863" s="21">
        <v>0</v>
      </c>
      <c r="S863" s="21">
        <v>0</v>
      </c>
      <c r="T863" s="21">
        <v>0</v>
      </c>
      <c r="U863" s="21">
        <v>200000</v>
      </c>
    </row>
    <row r="864" spans="1:22" ht="21.95" customHeight="1">
      <c r="A864" s="19" t="s">
        <v>1236</v>
      </c>
      <c r="B864" s="26" t="s">
        <v>208</v>
      </c>
      <c r="C864" s="1">
        <f t="shared" si="232"/>
        <v>3002030</v>
      </c>
      <c r="D864" s="21">
        <f t="shared" si="247"/>
        <v>0</v>
      </c>
      <c r="E864" s="21">
        <v>0</v>
      </c>
      <c r="F864" s="21">
        <v>0</v>
      </c>
      <c r="G864" s="21">
        <v>0</v>
      </c>
      <c r="H864" s="21">
        <v>0</v>
      </c>
      <c r="I864" s="21">
        <v>0</v>
      </c>
      <c r="J864" s="21">
        <v>0</v>
      </c>
      <c r="K864" s="40">
        <v>0</v>
      </c>
      <c r="L864" s="21">
        <v>0</v>
      </c>
      <c r="M864" s="21">
        <v>849.1</v>
      </c>
      <c r="N864" s="21">
        <f>M864*3300</f>
        <v>2802030</v>
      </c>
      <c r="O864" s="21">
        <v>0</v>
      </c>
      <c r="P864" s="21">
        <v>0</v>
      </c>
      <c r="Q864" s="21">
        <v>0</v>
      </c>
      <c r="R864" s="21">
        <v>0</v>
      </c>
      <c r="S864" s="21">
        <v>0</v>
      </c>
      <c r="T864" s="21">
        <v>0</v>
      </c>
      <c r="U864" s="21">
        <v>200000</v>
      </c>
    </row>
    <row r="865" spans="1:22" ht="21.95" customHeight="1">
      <c r="A865" s="19" t="s">
        <v>1237</v>
      </c>
      <c r="B865" s="28" t="s">
        <v>209</v>
      </c>
      <c r="C865" s="1">
        <f t="shared" si="232"/>
        <v>14602480</v>
      </c>
      <c r="D865" s="21">
        <f t="shared" si="247"/>
        <v>5118790</v>
      </c>
      <c r="E865" s="21">
        <f>350*2694.1</f>
        <v>942935</v>
      </c>
      <c r="F865" s="21">
        <f>800*2694.1</f>
        <v>2155280</v>
      </c>
      <c r="G865" s="21">
        <f>350*2694.1</f>
        <v>942935</v>
      </c>
      <c r="H865" s="21">
        <f>500*0</f>
        <v>0</v>
      </c>
      <c r="I865" s="21">
        <f>400*2694.1</f>
        <v>1077640</v>
      </c>
      <c r="J865" s="21">
        <v>0</v>
      </c>
      <c r="K865" s="40">
        <v>0</v>
      </c>
      <c r="L865" s="21">
        <v>0</v>
      </c>
      <c r="M865" s="21">
        <v>781.4</v>
      </c>
      <c r="N865" s="21">
        <f>M865*5300</f>
        <v>4141420</v>
      </c>
      <c r="O865" s="21">
        <v>0</v>
      </c>
      <c r="P865" s="21">
        <v>0</v>
      </c>
      <c r="Q865" s="21">
        <v>1974</v>
      </c>
      <c r="R865" s="21">
        <f>Q865*2605</f>
        <v>5142270</v>
      </c>
      <c r="S865" s="21">
        <f t="shared" ref="S865:S869" si="251">S907</f>
        <v>0</v>
      </c>
      <c r="T865" s="21">
        <v>0</v>
      </c>
      <c r="U865" s="21">
        <v>200000</v>
      </c>
    </row>
    <row r="866" spans="1:22" ht="21.95" customHeight="1">
      <c r="A866" s="19" t="s">
        <v>1238</v>
      </c>
      <c r="B866" s="26" t="s">
        <v>213</v>
      </c>
      <c r="C866" s="1">
        <f t="shared" si="232"/>
        <v>3625934</v>
      </c>
      <c r="D866" s="21">
        <f t="shared" si="247"/>
        <v>0</v>
      </c>
      <c r="E866" s="21">
        <v>0</v>
      </c>
      <c r="F866" s="21">
        <v>0</v>
      </c>
      <c r="G866" s="21">
        <v>0</v>
      </c>
      <c r="H866" s="21">
        <v>0</v>
      </c>
      <c r="I866" s="21">
        <v>0</v>
      </c>
      <c r="J866" s="21">
        <v>0</v>
      </c>
      <c r="K866" s="40">
        <v>0</v>
      </c>
      <c r="L866" s="21">
        <v>0</v>
      </c>
      <c r="M866" s="21">
        <v>415</v>
      </c>
      <c r="N866" s="21">
        <f>M866*5300</f>
        <v>2199500</v>
      </c>
      <c r="O866" s="21">
        <v>0</v>
      </c>
      <c r="P866" s="21">
        <v>0</v>
      </c>
      <c r="Q866" s="21">
        <v>470.8</v>
      </c>
      <c r="R866" s="21">
        <f>Q866*2605</f>
        <v>1226434</v>
      </c>
      <c r="S866" s="21">
        <f t="shared" si="251"/>
        <v>0</v>
      </c>
      <c r="T866" s="21">
        <v>0</v>
      </c>
      <c r="U866" s="21">
        <v>200000</v>
      </c>
    </row>
    <row r="867" spans="1:22" ht="21.95" customHeight="1">
      <c r="A867" s="19" t="s">
        <v>1239</v>
      </c>
      <c r="B867" s="26" t="s">
        <v>210</v>
      </c>
      <c r="C867" s="1">
        <f t="shared" si="232"/>
        <v>4076485</v>
      </c>
      <c r="D867" s="21">
        <f t="shared" si="247"/>
        <v>1319930</v>
      </c>
      <c r="E867" s="21">
        <f>350*694.7</f>
        <v>243145.00000000003</v>
      </c>
      <c r="F867" s="21">
        <f>800*694.7</f>
        <v>555760</v>
      </c>
      <c r="G867" s="21">
        <f>350*694.7</f>
        <v>243145.00000000003</v>
      </c>
      <c r="H867" s="21">
        <f>500*0</f>
        <v>0</v>
      </c>
      <c r="I867" s="21">
        <f>400*694.7</f>
        <v>277880</v>
      </c>
      <c r="J867" s="21">
        <v>0</v>
      </c>
      <c r="K867" s="40">
        <v>0</v>
      </c>
      <c r="L867" s="21">
        <v>0</v>
      </c>
      <c r="M867" s="21">
        <v>254.8</v>
      </c>
      <c r="N867" s="21">
        <f>M867*5300</f>
        <v>1350440</v>
      </c>
      <c r="O867" s="21">
        <v>0</v>
      </c>
      <c r="P867" s="21">
        <v>0</v>
      </c>
      <c r="Q867" s="21">
        <v>463</v>
      </c>
      <c r="R867" s="21">
        <f>Q867*2605</f>
        <v>1206115</v>
      </c>
      <c r="S867" s="21">
        <f t="shared" si="251"/>
        <v>0</v>
      </c>
      <c r="T867" s="21">
        <v>0</v>
      </c>
      <c r="U867" s="21">
        <v>200000</v>
      </c>
    </row>
    <row r="868" spans="1:22" ht="21.95" customHeight="1">
      <c r="A868" s="19" t="s">
        <v>1240</v>
      </c>
      <c r="B868" s="26" t="s">
        <v>211</v>
      </c>
      <c r="C868" s="1">
        <f t="shared" si="232"/>
        <v>4788501.5</v>
      </c>
      <c r="D868" s="21">
        <f t="shared" si="247"/>
        <v>1332850</v>
      </c>
      <c r="E868" s="21">
        <f>350*701.5</f>
        <v>245525</v>
      </c>
      <c r="F868" s="21">
        <f>800*701.5</f>
        <v>561200</v>
      </c>
      <c r="G868" s="21">
        <f>350*701.5</f>
        <v>245525</v>
      </c>
      <c r="H868" s="21">
        <f>500*0</f>
        <v>0</v>
      </c>
      <c r="I868" s="21">
        <f>400*701.5</f>
        <v>280600</v>
      </c>
      <c r="J868" s="21">
        <v>0</v>
      </c>
      <c r="K868" s="40">
        <v>0</v>
      </c>
      <c r="L868" s="21">
        <v>0</v>
      </c>
      <c r="M868" s="21">
        <v>384.1</v>
      </c>
      <c r="N868" s="21">
        <f>M868*5300</f>
        <v>2035730.0000000002</v>
      </c>
      <c r="O868" s="21">
        <v>0</v>
      </c>
      <c r="P868" s="21">
        <v>0</v>
      </c>
      <c r="Q868" s="21">
        <v>468.3</v>
      </c>
      <c r="R868" s="21">
        <f>Q868*2605</f>
        <v>1219921.5</v>
      </c>
      <c r="S868" s="21">
        <f t="shared" si="251"/>
        <v>0</v>
      </c>
      <c r="T868" s="21">
        <v>0</v>
      </c>
      <c r="U868" s="21">
        <v>200000</v>
      </c>
    </row>
    <row r="869" spans="1:22" ht="21.95" customHeight="1">
      <c r="A869" s="19" t="s">
        <v>1241</v>
      </c>
      <c r="B869" s="26" t="s">
        <v>212</v>
      </c>
      <c r="C869" s="1">
        <f t="shared" si="232"/>
        <v>4591333</v>
      </c>
      <c r="D869" s="21">
        <f t="shared" si="247"/>
        <v>1356220</v>
      </c>
      <c r="E869" s="21">
        <f>350*713.8</f>
        <v>249829.99999999997</v>
      </c>
      <c r="F869" s="21">
        <f>800*713.8</f>
        <v>571040</v>
      </c>
      <c r="G869" s="21">
        <f>350*713.8</f>
        <v>249829.99999999997</v>
      </c>
      <c r="H869" s="21">
        <f>500*0</f>
        <v>0</v>
      </c>
      <c r="I869" s="21">
        <f>400*713.8</f>
        <v>285520</v>
      </c>
      <c r="J869" s="21">
        <v>0</v>
      </c>
      <c r="K869" s="40">
        <v>0</v>
      </c>
      <c r="L869" s="21">
        <v>0</v>
      </c>
      <c r="M869" s="21">
        <v>367.9</v>
      </c>
      <c r="N869" s="21">
        <f>M869*5300</f>
        <v>1949869.9999999998</v>
      </c>
      <c r="O869" s="21">
        <v>0</v>
      </c>
      <c r="P869" s="21">
        <v>0</v>
      </c>
      <c r="Q869" s="21">
        <v>416.6</v>
      </c>
      <c r="R869" s="21">
        <f>Q869*2605</f>
        <v>1085243</v>
      </c>
      <c r="S869" s="21">
        <f t="shared" si="251"/>
        <v>0</v>
      </c>
      <c r="T869" s="21">
        <v>0</v>
      </c>
      <c r="U869" s="21">
        <v>200000</v>
      </c>
    </row>
    <row r="870" spans="1:22" ht="45" customHeight="1">
      <c r="A870" s="55" t="s">
        <v>228</v>
      </c>
      <c r="B870" s="55"/>
      <c r="C870" s="1">
        <f t="shared" si="232"/>
        <v>10845939.5</v>
      </c>
      <c r="D870" s="1">
        <f t="shared" ref="D870:U870" si="252">SUM(D871:D873)</f>
        <v>1595970</v>
      </c>
      <c r="E870" s="1">
        <f t="shared" si="252"/>
        <v>358785</v>
      </c>
      <c r="F870" s="1">
        <f t="shared" si="252"/>
        <v>585600</v>
      </c>
      <c r="G870" s="1">
        <f t="shared" si="252"/>
        <v>358785</v>
      </c>
      <c r="H870" s="1">
        <f t="shared" si="252"/>
        <v>0</v>
      </c>
      <c r="I870" s="1">
        <f t="shared" si="252"/>
        <v>292800</v>
      </c>
      <c r="J870" s="1">
        <f t="shared" si="252"/>
        <v>0</v>
      </c>
      <c r="K870" s="42">
        <f t="shared" si="252"/>
        <v>0</v>
      </c>
      <c r="L870" s="1">
        <f t="shared" si="252"/>
        <v>0</v>
      </c>
      <c r="M870" s="1">
        <f t="shared" si="252"/>
        <v>987.75</v>
      </c>
      <c r="N870" s="1">
        <f t="shared" si="252"/>
        <v>5235075</v>
      </c>
      <c r="O870" s="1">
        <f t="shared" si="252"/>
        <v>0</v>
      </c>
      <c r="P870" s="1">
        <f t="shared" si="252"/>
        <v>0</v>
      </c>
      <c r="Q870" s="1">
        <f t="shared" si="252"/>
        <v>1310.9</v>
      </c>
      <c r="R870" s="1">
        <f t="shared" si="252"/>
        <v>3414894.5</v>
      </c>
      <c r="S870" s="1">
        <f t="shared" si="252"/>
        <v>0</v>
      </c>
      <c r="T870" s="1">
        <f t="shared" si="252"/>
        <v>0</v>
      </c>
      <c r="U870" s="1">
        <f t="shared" si="252"/>
        <v>600000</v>
      </c>
    </row>
    <row r="871" spans="1:22" ht="21.95" customHeight="1">
      <c r="A871" s="19" t="s">
        <v>1242</v>
      </c>
      <c r="B871" s="24" t="s">
        <v>225</v>
      </c>
      <c r="C871" s="1">
        <f t="shared" si="232"/>
        <v>3619310</v>
      </c>
      <c r="D871" s="21">
        <f t="shared" ref="D871:D873" si="253">SUM(E871:J871)</f>
        <v>205170.00000000003</v>
      </c>
      <c r="E871" s="21">
        <f>350*293.1</f>
        <v>102585.00000000001</v>
      </c>
      <c r="F871" s="21">
        <f>800*0</f>
        <v>0</v>
      </c>
      <c r="G871" s="21">
        <f>350*293.1</f>
        <v>102585.00000000001</v>
      </c>
      <c r="H871" s="21">
        <f>500*0</f>
        <v>0</v>
      </c>
      <c r="I871" s="21">
        <f>400*0</f>
        <v>0</v>
      </c>
      <c r="J871" s="21">
        <v>0</v>
      </c>
      <c r="K871" s="40">
        <v>0</v>
      </c>
      <c r="L871" s="21">
        <v>0</v>
      </c>
      <c r="M871" s="21">
        <v>371.5</v>
      </c>
      <c r="N871" s="21">
        <v>1968950</v>
      </c>
      <c r="O871" s="21">
        <v>0</v>
      </c>
      <c r="P871" s="21">
        <v>0</v>
      </c>
      <c r="Q871" s="21">
        <v>478</v>
      </c>
      <c r="R871" s="21">
        <v>1245190</v>
      </c>
      <c r="S871" s="21">
        <v>0</v>
      </c>
      <c r="T871" s="21">
        <v>0</v>
      </c>
      <c r="U871" s="21">
        <v>200000</v>
      </c>
    </row>
    <row r="872" spans="1:22" ht="21.95" customHeight="1">
      <c r="A872" s="19" t="s">
        <v>1243</v>
      </c>
      <c r="B872" s="24" t="s">
        <v>226</v>
      </c>
      <c r="C872" s="1">
        <f t="shared" si="232"/>
        <v>4249873.5</v>
      </c>
      <c r="D872" s="21">
        <f t="shared" si="253"/>
        <v>833910</v>
      </c>
      <c r="E872" s="21">
        <f>350*438.9</f>
        <v>153615</v>
      </c>
      <c r="F872" s="21">
        <f>800*438.9</f>
        <v>351120</v>
      </c>
      <c r="G872" s="21">
        <f>350*438.9</f>
        <v>153615</v>
      </c>
      <c r="H872" s="21">
        <f>500*0</f>
        <v>0</v>
      </c>
      <c r="I872" s="21">
        <f>400*438.9</f>
        <v>175560</v>
      </c>
      <c r="J872" s="21">
        <v>0</v>
      </c>
      <c r="K872" s="40">
        <v>0</v>
      </c>
      <c r="L872" s="21">
        <v>0</v>
      </c>
      <c r="M872" s="21">
        <v>371.5</v>
      </c>
      <c r="N872" s="21">
        <v>1968950</v>
      </c>
      <c r="O872" s="21">
        <v>0</v>
      </c>
      <c r="P872" s="21">
        <v>0</v>
      </c>
      <c r="Q872" s="21">
        <v>478.7</v>
      </c>
      <c r="R872" s="21">
        <v>1247013.5</v>
      </c>
      <c r="S872" s="21">
        <v>0</v>
      </c>
      <c r="T872" s="21">
        <v>0</v>
      </c>
      <c r="U872" s="21">
        <v>200000</v>
      </c>
    </row>
    <row r="873" spans="1:22" ht="21.95" customHeight="1">
      <c r="A873" s="19" t="s">
        <v>1244</v>
      </c>
      <c r="B873" s="24" t="s">
        <v>227</v>
      </c>
      <c r="C873" s="1">
        <f t="shared" si="232"/>
        <v>2976756</v>
      </c>
      <c r="D873" s="21">
        <f t="shared" si="253"/>
        <v>556890.00000000012</v>
      </c>
      <c r="E873" s="21">
        <f>350*293.1</f>
        <v>102585.00000000001</v>
      </c>
      <c r="F873" s="21">
        <f>800*293.1</f>
        <v>234480.00000000003</v>
      </c>
      <c r="G873" s="21">
        <f>350*293.1</f>
        <v>102585.00000000001</v>
      </c>
      <c r="H873" s="21">
        <f>500*0</f>
        <v>0</v>
      </c>
      <c r="I873" s="21">
        <f>400*293.1</f>
        <v>117240.00000000001</v>
      </c>
      <c r="J873" s="21">
        <v>0</v>
      </c>
      <c r="K873" s="40">
        <v>0</v>
      </c>
      <c r="L873" s="21">
        <v>0</v>
      </c>
      <c r="M873" s="21">
        <v>244.75</v>
      </c>
      <c r="N873" s="21">
        <v>1297175</v>
      </c>
      <c r="O873" s="21">
        <v>0</v>
      </c>
      <c r="P873" s="21">
        <v>0</v>
      </c>
      <c r="Q873" s="21">
        <v>354.2</v>
      </c>
      <c r="R873" s="21">
        <v>922691</v>
      </c>
      <c r="S873" s="21">
        <v>0</v>
      </c>
      <c r="T873" s="21">
        <v>0</v>
      </c>
      <c r="U873" s="21">
        <v>200000</v>
      </c>
    </row>
    <row r="874" spans="1:22" ht="45" customHeight="1">
      <c r="A874" s="55" t="s">
        <v>232</v>
      </c>
      <c r="B874" s="55"/>
      <c r="C874" s="1">
        <f t="shared" si="232"/>
        <v>11697180.199999999</v>
      </c>
      <c r="D874" s="1">
        <f t="shared" ref="D874:U874" si="254">SUM(D875:D878)</f>
        <v>1141210</v>
      </c>
      <c r="E874" s="1">
        <f t="shared" si="254"/>
        <v>429520</v>
      </c>
      <c r="F874" s="1">
        <f t="shared" si="254"/>
        <v>0</v>
      </c>
      <c r="G874" s="1">
        <f t="shared" si="254"/>
        <v>305010</v>
      </c>
      <c r="H874" s="1">
        <f t="shared" si="254"/>
        <v>0</v>
      </c>
      <c r="I874" s="1">
        <f t="shared" si="254"/>
        <v>406680</v>
      </c>
      <c r="J874" s="1">
        <f t="shared" si="254"/>
        <v>0</v>
      </c>
      <c r="K874" s="42">
        <f t="shared" si="254"/>
        <v>0</v>
      </c>
      <c r="L874" s="1">
        <f t="shared" si="254"/>
        <v>0</v>
      </c>
      <c r="M874" s="1">
        <f t="shared" si="254"/>
        <v>1110.56</v>
      </c>
      <c r="N874" s="1">
        <f t="shared" si="254"/>
        <v>5330688</v>
      </c>
      <c r="O874" s="1">
        <f t="shared" si="254"/>
        <v>0</v>
      </c>
      <c r="P874" s="1">
        <f t="shared" si="254"/>
        <v>0</v>
      </c>
      <c r="Q874" s="1">
        <f t="shared" si="254"/>
        <v>1502.8400000000001</v>
      </c>
      <c r="R874" s="1">
        <f t="shared" si="254"/>
        <v>3914898.2</v>
      </c>
      <c r="S874" s="1">
        <f t="shared" si="254"/>
        <v>510384</v>
      </c>
      <c r="T874" s="1">
        <f t="shared" si="254"/>
        <v>0</v>
      </c>
      <c r="U874" s="1">
        <f t="shared" si="254"/>
        <v>800000</v>
      </c>
    </row>
    <row r="875" spans="1:22" ht="21.95" customHeight="1">
      <c r="A875" s="19" t="s">
        <v>1245</v>
      </c>
      <c r="B875" s="24" t="s">
        <v>240</v>
      </c>
      <c r="C875" s="1">
        <f t="shared" si="232"/>
        <v>3615113</v>
      </c>
      <c r="D875" s="21">
        <f t="shared" ref="D875:D878" si="255">SUM(E875:J875)</f>
        <v>437850</v>
      </c>
      <c r="E875" s="21">
        <f>350*417</f>
        <v>145950</v>
      </c>
      <c r="F875" s="21">
        <v>0</v>
      </c>
      <c r="G875" s="21">
        <f>300*417</f>
        <v>125100</v>
      </c>
      <c r="H875" s="21">
        <f>500*0</f>
        <v>0</v>
      </c>
      <c r="I875" s="21">
        <f>400*417</f>
        <v>166800</v>
      </c>
      <c r="J875" s="21">
        <f>350*0</f>
        <v>0</v>
      </c>
      <c r="K875" s="40">
        <v>0</v>
      </c>
      <c r="L875" s="21">
        <v>0</v>
      </c>
      <c r="M875" s="21">
        <v>347.64</v>
      </c>
      <c r="N875" s="21">
        <v>1668672</v>
      </c>
      <c r="O875" s="21">
        <v>0</v>
      </c>
      <c r="P875" s="21">
        <v>0</v>
      </c>
      <c r="Q875" s="21">
        <v>442.2</v>
      </c>
      <c r="R875" s="21">
        <v>1151931</v>
      </c>
      <c r="S875" s="21">
        <v>156660</v>
      </c>
      <c r="T875" s="21">
        <v>0</v>
      </c>
      <c r="U875" s="21">
        <v>200000</v>
      </c>
    </row>
    <row r="876" spans="1:22" ht="21.95" customHeight="1">
      <c r="A876" s="19" t="s">
        <v>1246</v>
      </c>
      <c r="B876" s="24" t="s">
        <v>241</v>
      </c>
      <c r="C876" s="1">
        <f t="shared" si="232"/>
        <v>2776912</v>
      </c>
      <c r="D876" s="21">
        <f t="shared" si="255"/>
        <v>314790</v>
      </c>
      <c r="E876" s="21">
        <f>350*299.8</f>
        <v>104930</v>
      </c>
      <c r="F876" s="21">
        <v>0</v>
      </c>
      <c r="G876" s="21">
        <f>300*299.8</f>
        <v>89940</v>
      </c>
      <c r="H876" s="21">
        <f>500*0</f>
        <v>0</v>
      </c>
      <c r="I876" s="21">
        <f>400*299.8</f>
        <v>119920</v>
      </c>
      <c r="J876" s="21">
        <f>350*0</f>
        <v>0</v>
      </c>
      <c r="K876" s="40">
        <v>0</v>
      </c>
      <c r="L876" s="21">
        <v>0</v>
      </c>
      <c r="M876" s="21">
        <v>255.83</v>
      </c>
      <c r="N876" s="21">
        <v>1227984</v>
      </c>
      <c r="O876" s="21">
        <v>0</v>
      </c>
      <c r="P876" s="21">
        <v>0</v>
      </c>
      <c r="Q876" s="21">
        <v>350</v>
      </c>
      <c r="R876" s="21">
        <v>911750</v>
      </c>
      <c r="S876" s="21">
        <v>122388</v>
      </c>
      <c r="T876" s="21">
        <v>0</v>
      </c>
      <c r="U876" s="21">
        <v>200000</v>
      </c>
    </row>
    <row r="877" spans="1:22" ht="21.95" customHeight="1">
      <c r="A877" s="19" t="s">
        <v>1247</v>
      </c>
      <c r="B877" s="24" t="s">
        <v>243</v>
      </c>
      <c r="C877" s="1">
        <f t="shared" si="232"/>
        <v>2692157</v>
      </c>
      <c r="D877" s="21">
        <f t="shared" si="255"/>
        <v>314895</v>
      </c>
      <c r="E877" s="21">
        <f>350*299.9</f>
        <v>104964.99999999999</v>
      </c>
      <c r="F877" s="21">
        <v>0</v>
      </c>
      <c r="G877" s="21">
        <f>300*299.9</f>
        <v>89970</v>
      </c>
      <c r="H877" s="21">
        <f>500*0</f>
        <v>0</v>
      </c>
      <c r="I877" s="21">
        <f>400*299.9</f>
        <v>119959.99999999999</v>
      </c>
      <c r="J877" s="21">
        <f>350*0</f>
        <v>0</v>
      </c>
      <c r="K877" s="40">
        <v>0</v>
      </c>
      <c r="L877" s="21">
        <v>0</v>
      </c>
      <c r="M877" s="21">
        <v>238.62</v>
      </c>
      <c r="N877" s="21">
        <v>1145376</v>
      </c>
      <c r="O877" s="21">
        <v>0</v>
      </c>
      <c r="P877" s="21">
        <v>0</v>
      </c>
      <c r="Q877" s="21">
        <v>349.2</v>
      </c>
      <c r="R877" s="21">
        <v>909666</v>
      </c>
      <c r="S877" s="21">
        <v>122220</v>
      </c>
      <c r="T877" s="21">
        <v>0</v>
      </c>
      <c r="U877" s="21">
        <v>200000</v>
      </c>
    </row>
    <row r="878" spans="1:22" ht="21.95" customHeight="1">
      <c r="A878" s="19" t="s">
        <v>1248</v>
      </c>
      <c r="B878" s="24" t="s">
        <v>244</v>
      </c>
      <c r="C878" s="1">
        <f t="shared" si="232"/>
        <v>2612998.2000000002</v>
      </c>
      <c r="D878" s="21">
        <f t="shared" si="255"/>
        <v>73675</v>
      </c>
      <c r="E878" s="21">
        <f>350*210.5</f>
        <v>73675</v>
      </c>
      <c r="F878" s="21">
        <v>0</v>
      </c>
      <c r="G878" s="21">
        <v>0</v>
      </c>
      <c r="H878" s="21">
        <f>500*0</f>
        <v>0</v>
      </c>
      <c r="I878" s="21">
        <v>0</v>
      </c>
      <c r="J878" s="21">
        <f>350*0</f>
        <v>0</v>
      </c>
      <c r="K878" s="40">
        <v>0</v>
      </c>
      <c r="L878" s="21">
        <v>0</v>
      </c>
      <c r="M878" s="21">
        <v>268.47000000000003</v>
      </c>
      <c r="N878" s="21">
        <v>1288656</v>
      </c>
      <c r="O878" s="21">
        <v>0</v>
      </c>
      <c r="P878" s="21">
        <v>0</v>
      </c>
      <c r="Q878" s="21">
        <v>361.44</v>
      </c>
      <c r="R878" s="21">
        <v>941551.2</v>
      </c>
      <c r="S878" s="21">
        <v>109116</v>
      </c>
      <c r="T878" s="21">
        <v>0</v>
      </c>
      <c r="U878" s="21">
        <v>200000</v>
      </c>
    </row>
    <row r="879" spans="1:22" ht="45" customHeight="1">
      <c r="A879" s="55" t="s">
        <v>250</v>
      </c>
      <c r="B879" s="55"/>
      <c r="C879" s="1">
        <f t="shared" si="232"/>
        <v>3043310</v>
      </c>
      <c r="D879" s="1">
        <f t="shared" ref="D879:U879" si="256">SUM(D880)</f>
        <v>503755</v>
      </c>
      <c r="E879" s="1">
        <f t="shared" si="256"/>
        <v>95305</v>
      </c>
      <c r="F879" s="1">
        <f t="shared" si="256"/>
        <v>217840</v>
      </c>
      <c r="G879" s="1">
        <f t="shared" si="256"/>
        <v>81690</v>
      </c>
      <c r="H879" s="1">
        <f t="shared" si="256"/>
        <v>0</v>
      </c>
      <c r="I879" s="1">
        <f t="shared" si="256"/>
        <v>108920</v>
      </c>
      <c r="J879" s="1">
        <f t="shared" si="256"/>
        <v>0</v>
      </c>
      <c r="K879" s="42">
        <f t="shared" si="256"/>
        <v>0</v>
      </c>
      <c r="L879" s="1">
        <f t="shared" si="256"/>
        <v>0</v>
      </c>
      <c r="M879" s="1">
        <f t="shared" si="256"/>
        <v>272</v>
      </c>
      <c r="N879" s="1">
        <f t="shared" si="256"/>
        <v>1305600</v>
      </c>
      <c r="O879" s="1">
        <f t="shared" si="256"/>
        <v>0</v>
      </c>
      <c r="P879" s="1">
        <f t="shared" si="256"/>
        <v>0</v>
      </c>
      <c r="Q879" s="1">
        <f t="shared" si="256"/>
        <v>335</v>
      </c>
      <c r="R879" s="1">
        <f t="shared" si="256"/>
        <v>872675</v>
      </c>
      <c r="S879" s="1">
        <f t="shared" si="256"/>
        <v>161280</v>
      </c>
      <c r="T879" s="1">
        <f t="shared" si="256"/>
        <v>0</v>
      </c>
      <c r="U879" s="1">
        <f t="shared" si="256"/>
        <v>200000</v>
      </c>
      <c r="V879" s="13">
        <f>C879</f>
        <v>3043310</v>
      </c>
    </row>
    <row r="880" spans="1:22" ht="21.95" customHeight="1">
      <c r="A880" s="19" t="s">
        <v>1249</v>
      </c>
      <c r="B880" s="24" t="s">
        <v>249</v>
      </c>
      <c r="C880" s="1">
        <f t="shared" si="232"/>
        <v>3043310</v>
      </c>
      <c r="D880" s="21">
        <f t="shared" ref="D880" si="257">SUM(E880:J880)</f>
        <v>503755</v>
      </c>
      <c r="E880" s="21">
        <f>350*272.3</f>
        <v>95305</v>
      </c>
      <c r="F880" s="21">
        <f>800*272.3</f>
        <v>217840</v>
      </c>
      <c r="G880" s="21">
        <f>300*272.3</f>
        <v>81690</v>
      </c>
      <c r="H880" s="21">
        <f>500*0</f>
        <v>0</v>
      </c>
      <c r="I880" s="21">
        <f>400*272.3</f>
        <v>108920</v>
      </c>
      <c r="J880" s="21">
        <f>350*0</f>
        <v>0</v>
      </c>
      <c r="K880" s="40">
        <v>0</v>
      </c>
      <c r="L880" s="21">
        <v>0</v>
      </c>
      <c r="M880" s="21">
        <v>272</v>
      </c>
      <c r="N880" s="21">
        <v>1305600</v>
      </c>
      <c r="O880" s="21">
        <v>0</v>
      </c>
      <c r="P880" s="21">
        <v>0</v>
      </c>
      <c r="Q880" s="21">
        <v>335</v>
      </c>
      <c r="R880" s="21">
        <v>872675</v>
      </c>
      <c r="S880" s="21">
        <v>161280</v>
      </c>
      <c r="T880" s="21">
        <v>0</v>
      </c>
      <c r="U880" s="21">
        <v>200000</v>
      </c>
    </row>
    <row r="881" spans="1:22" ht="45" customHeight="1">
      <c r="A881" s="55" t="s">
        <v>275</v>
      </c>
      <c r="B881" s="55"/>
      <c r="C881" s="1">
        <f t="shared" si="232"/>
        <v>51526296.600000001</v>
      </c>
      <c r="D881" s="1">
        <f t="shared" ref="D881:U881" si="258">SUM(D882:D891)</f>
        <v>19021660</v>
      </c>
      <c r="E881" s="1">
        <f t="shared" si="258"/>
        <v>3742235</v>
      </c>
      <c r="F881" s="1">
        <f t="shared" si="258"/>
        <v>8553680</v>
      </c>
      <c r="G881" s="1">
        <f t="shared" si="258"/>
        <v>2448905</v>
      </c>
      <c r="H881" s="1">
        <f t="shared" si="258"/>
        <v>0</v>
      </c>
      <c r="I881" s="1">
        <f t="shared" si="258"/>
        <v>4276840</v>
      </c>
      <c r="J881" s="1">
        <f t="shared" si="258"/>
        <v>0</v>
      </c>
      <c r="K881" s="42">
        <f t="shared" si="258"/>
        <v>0</v>
      </c>
      <c r="L881" s="1">
        <f t="shared" si="258"/>
        <v>0</v>
      </c>
      <c r="M881" s="1">
        <f t="shared" si="258"/>
        <v>3933.8199999999997</v>
      </c>
      <c r="N881" s="1">
        <f t="shared" si="258"/>
        <v>18071826</v>
      </c>
      <c r="O881" s="1">
        <f t="shared" si="258"/>
        <v>315.59999999999997</v>
      </c>
      <c r="P881" s="1">
        <f t="shared" si="258"/>
        <v>781800</v>
      </c>
      <c r="Q881" s="1">
        <f t="shared" si="258"/>
        <v>4587.7300000000005</v>
      </c>
      <c r="R881" s="1">
        <f t="shared" si="258"/>
        <v>11951010.6</v>
      </c>
      <c r="S881" s="1">
        <f t="shared" si="258"/>
        <v>0</v>
      </c>
      <c r="T881" s="1">
        <f t="shared" si="258"/>
        <v>0</v>
      </c>
      <c r="U881" s="1">
        <f t="shared" si="258"/>
        <v>1700000</v>
      </c>
    </row>
    <row r="882" spans="1:22" ht="24" customHeight="1">
      <c r="A882" s="17" t="s">
        <v>1250</v>
      </c>
      <c r="B882" s="24" t="s">
        <v>1933</v>
      </c>
      <c r="C882" s="1">
        <f t="shared" si="232"/>
        <v>3160270</v>
      </c>
      <c r="D882" s="21">
        <f t="shared" ref="D882:D891" si="259">SUM(E882:J882)</f>
        <v>3160270</v>
      </c>
      <c r="E882" s="21">
        <f>350*1663.3</f>
        <v>582155</v>
      </c>
      <c r="F882" s="21">
        <f>800*1663.3</f>
        <v>1330640</v>
      </c>
      <c r="G882" s="21">
        <f>350*1663.3</f>
        <v>582155</v>
      </c>
      <c r="H882" s="21">
        <v>0</v>
      </c>
      <c r="I882" s="21">
        <f>400*1663.3</f>
        <v>665320</v>
      </c>
      <c r="J882" s="21">
        <v>0</v>
      </c>
      <c r="K882" s="5">
        <v>0</v>
      </c>
      <c r="L882" s="3">
        <v>0</v>
      </c>
      <c r="M882" s="3">
        <v>0</v>
      </c>
      <c r="N882" s="3">
        <v>0</v>
      </c>
      <c r="O882" s="3">
        <v>0</v>
      </c>
      <c r="P882" s="3">
        <v>0</v>
      </c>
      <c r="Q882" s="3">
        <v>0</v>
      </c>
      <c r="R882" s="3">
        <v>0</v>
      </c>
      <c r="S882" s="3">
        <v>0</v>
      </c>
      <c r="T882" s="3">
        <v>0</v>
      </c>
      <c r="U882" s="3">
        <v>0</v>
      </c>
    </row>
    <row r="883" spans="1:22" ht="21.95" customHeight="1">
      <c r="A883" s="17" t="s">
        <v>1251</v>
      </c>
      <c r="B883" s="24" t="s">
        <v>1920</v>
      </c>
      <c r="C883" s="1">
        <f t="shared" si="232"/>
        <v>1818750</v>
      </c>
      <c r="D883" s="21">
        <f t="shared" si="259"/>
        <v>0</v>
      </c>
      <c r="E883" s="3">
        <v>0</v>
      </c>
      <c r="F883" s="3">
        <v>0</v>
      </c>
      <c r="G883" s="3">
        <v>0</v>
      </c>
      <c r="H883" s="3">
        <v>0</v>
      </c>
      <c r="I883" s="3">
        <v>0</v>
      </c>
      <c r="J883" s="3">
        <v>0</v>
      </c>
      <c r="K883" s="5">
        <v>0</v>
      </c>
      <c r="L883" s="3">
        <v>0</v>
      </c>
      <c r="M883" s="3">
        <v>312.5</v>
      </c>
      <c r="N883" s="3">
        <f>M883*5500</f>
        <v>1718750</v>
      </c>
      <c r="O883" s="3">
        <v>0</v>
      </c>
      <c r="P883" s="3">
        <v>0</v>
      </c>
      <c r="Q883" s="3">
        <v>0</v>
      </c>
      <c r="R883" s="3">
        <v>0</v>
      </c>
      <c r="S883" s="3">
        <v>0</v>
      </c>
      <c r="T883" s="3">
        <v>0</v>
      </c>
      <c r="U883" s="3">
        <v>100000</v>
      </c>
    </row>
    <row r="884" spans="1:22" ht="21.95" customHeight="1">
      <c r="A884" s="17" t="s">
        <v>1252</v>
      </c>
      <c r="B884" s="29" t="s">
        <v>255</v>
      </c>
      <c r="C884" s="1">
        <f t="shared" si="232"/>
        <v>6150090</v>
      </c>
      <c r="D884" s="21">
        <f t="shared" si="259"/>
        <v>5599810</v>
      </c>
      <c r="E884" s="21">
        <f>350*3482</f>
        <v>1218700</v>
      </c>
      <c r="F884" s="21">
        <f>800*3482</f>
        <v>2785600</v>
      </c>
      <c r="G884" s="21">
        <f>300*675.7</f>
        <v>202710</v>
      </c>
      <c r="H884" s="21">
        <f>500*0</f>
        <v>0</v>
      </c>
      <c r="I884" s="21">
        <f>400*3482</f>
        <v>1392800</v>
      </c>
      <c r="J884" s="21">
        <f>350*0</f>
        <v>0</v>
      </c>
      <c r="K884" s="40">
        <v>0</v>
      </c>
      <c r="L884" s="21">
        <v>0</v>
      </c>
      <c r="M884" s="21">
        <v>0</v>
      </c>
      <c r="N884" s="21">
        <v>0</v>
      </c>
      <c r="O884" s="21">
        <v>166.8</v>
      </c>
      <c r="P884" s="21">
        <v>350280</v>
      </c>
      <c r="Q884" s="21">
        <v>0</v>
      </c>
      <c r="R884" s="21">
        <v>0</v>
      </c>
      <c r="S884" s="21">
        <v>0</v>
      </c>
      <c r="T884" s="21">
        <v>0</v>
      </c>
      <c r="U884" s="21">
        <v>200000</v>
      </c>
    </row>
    <row r="885" spans="1:22" ht="21.95" customHeight="1">
      <c r="A885" s="17" t="s">
        <v>1253</v>
      </c>
      <c r="B885" s="29" t="s">
        <v>263</v>
      </c>
      <c r="C885" s="1">
        <f t="shared" si="232"/>
        <v>6117349.1500000004</v>
      </c>
      <c r="D885" s="21">
        <f t="shared" si="259"/>
        <v>1250045</v>
      </c>
      <c r="E885" s="21">
        <f>350*675.7</f>
        <v>236495.00000000003</v>
      </c>
      <c r="F885" s="21">
        <f>800*675.7</f>
        <v>540560</v>
      </c>
      <c r="G885" s="21">
        <f>300*675.7</f>
        <v>202710</v>
      </c>
      <c r="H885" s="21">
        <f>500*0</f>
        <v>0</v>
      </c>
      <c r="I885" s="21">
        <f>400*675.7</f>
        <v>270280</v>
      </c>
      <c r="J885" s="21">
        <f>350*0</f>
        <v>0</v>
      </c>
      <c r="K885" s="40">
        <v>0</v>
      </c>
      <c r="L885" s="21">
        <v>0</v>
      </c>
      <c r="M885" s="21">
        <v>555.79999999999995</v>
      </c>
      <c r="N885" s="21">
        <v>2961640</v>
      </c>
      <c r="O885" s="21">
        <v>42.7</v>
      </c>
      <c r="P885" s="21">
        <v>123830</v>
      </c>
      <c r="Q885" s="21">
        <v>607.23</v>
      </c>
      <c r="R885" s="21">
        <v>1581834.15</v>
      </c>
      <c r="S885" s="21">
        <v>0</v>
      </c>
      <c r="T885" s="21">
        <v>0</v>
      </c>
      <c r="U885" s="21">
        <v>200000</v>
      </c>
    </row>
    <row r="886" spans="1:22" ht="21.95" customHeight="1">
      <c r="A886" s="17" t="s">
        <v>1254</v>
      </c>
      <c r="B886" s="29" t="s">
        <v>268</v>
      </c>
      <c r="C886" s="1">
        <f t="shared" si="232"/>
        <v>3204040</v>
      </c>
      <c r="D886" s="21">
        <f t="shared" si="259"/>
        <v>0</v>
      </c>
      <c r="E886" s="3">
        <v>0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40">
        <v>0</v>
      </c>
      <c r="L886" s="21">
        <v>0</v>
      </c>
      <c r="M886" s="21">
        <v>566.79999999999995</v>
      </c>
      <c r="N886" s="21">
        <v>3004040</v>
      </c>
      <c r="O886" s="21">
        <v>0</v>
      </c>
      <c r="P886" s="21">
        <v>0</v>
      </c>
      <c r="Q886" s="21">
        <v>0</v>
      </c>
      <c r="R886" s="21">
        <v>0</v>
      </c>
      <c r="S886" s="21">
        <v>0</v>
      </c>
      <c r="T886" s="21">
        <v>0</v>
      </c>
      <c r="U886" s="21">
        <v>200000</v>
      </c>
    </row>
    <row r="887" spans="1:22" ht="21.95" customHeight="1">
      <c r="A887" s="17" t="s">
        <v>1255</v>
      </c>
      <c r="B887" s="29" t="s">
        <v>270</v>
      </c>
      <c r="C887" s="1">
        <f t="shared" si="232"/>
        <v>8700034</v>
      </c>
      <c r="D887" s="21">
        <f t="shared" si="259"/>
        <v>2944460</v>
      </c>
      <c r="E887" s="21">
        <f>350*1591.6</f>
        <v>557060</v>
      </c>
      <c r="F887" s="21">
        <f>800*1591.6</f>
        <v>1273280</v>
      </c>
      <c r="G887" s="21">
        <f>300*1591.6</f>
        <v>477480</v>
      </c>
      <c r="H887" s="21">
        <f>500*0</f>
        <v>0</v>
      </c>
      <c r="I887" s="21">
        <f>400*1591.6</f>
        <v>636640</v>
      </c>
      <c r="J887" s="21">
        <f>350*0</f>
        <v>0</v>
      </c>
      <c r="K887" s="40">
        <v>0</v>
      </c>
      <c r="L887" s="21">
        <v>0</v>
      </c>
      <c r="M887" s="21">
        <v>682.66</v>
      </c>
      <c r="N887" s="21">
        <v>2252778</v>
      </c>
      <c r="O887" s="21">
        <v>52.7</v>
      </c>
      <c r="P887" s="21">
        <v>152830</v>
      </c>
      <c r="Q887" s="21">
        <v>1209.2</v>
      </c>
      <c r="R887" s="21">
        <v>3149966</v>
      </c>
      <c r="S887" s="21">
        <v>0</v>
      </c>
      <c r="T887" s="21">
        <v>0</v>
      </c>
      <c r="U887" s="21">
        <v>200000</v>
      </c>
    </row>
    <row r="888" spans="1:22" ht="21.95" customHeight="1">
      <c r="A888" s="17" t="s">
        <v>1256</v>
      </c>
      <c r="B888" s="29" t="s">
        <v>271</v>
      </c>
      <c r="C888" s="1">
        <f t="shared" si="232"/>
        <v>8913833.5</v>
      </c>
      <c r="D888" s="21">
        <f t="shared" si="259"/>
        <v>2974430</v>
      </c>
      <c r="E888" s="21">
        <f>350*1607.8</f>
        <v>562730</v>
      </c>
      <c r="F888" s="21">
        <f>800*1607.8</f>
        <v>1286240</v>
      </c>
      <c r="G888" s="21">
        <f>300*1607.8</f>
        <v>482340</v>
      </c>
      <c r="H888" s="21">
        <f t="shared" ref="H888:H891" si="260">500*0</f>
        <v>0</v>
      </c>
      <c r="I888" s="21">
        <f>400*1607.8</f>
        <v>643120</v>
      </c>
      <c r="J888" s="21">
        <f t="shared" ref="J888:J891" si="261">350*0</f>
        <v>0</v>
      </c>
      <c r="K888" s="40">
        <v>0</v>
      </c>
      <c r="L888" s="21">
        <v>0</v>
      </c>
      <c r="M888" s="21">
        <v>745.25</v>
      </c>
      <c r="N888" s="21">
        <v>2459325</v>
      </c>
      <c r="O888" s="21">
        <v>53.4</v>
      </c>
      <c r="P888" s="21">
        <v>154860</v>
      </c>
      <c r="Q888" s="21">
        <v>1199.7</v>
      </c>
      <c r="R888" s="21">
        <v>3125218.5</v>
      </c>
      <c r="S888" s="21">
        <v>0</v>
      </c>
      <c r="T888" s="21">
        <v>0</v>
      </c>
      <c r="U888" s="21">
        <v>200000</v>
      </c>
    </row>
    <row r="889" spans="1:22" ht="21.95" customHeight="1">
      <c r="A889" s="17" t="s">
        <v>1257</v>
      </c>
      <c r="B889" s="29" t="s">
        <v>272</v>
      </c>
      <c r="C889" s="1">
        <f t="shared" si="232"/>
        <v>5851731.0999999996</v>
      </c>
      <c r="D889" s="21">
        <f t="shared" si="259"/>
        <v>1251710</v>
      </c>
      <c r="E889" s="21">
        <f>350*676.6</f>
        <v>236810</v>
      </c>
      <c r="F889" s="21">
        <f>800*676.6</f>
        <v>541280</v>
      </c>
      <c r="G889" s="21">
        <f>300*676.6</f>
        <v>202980</v>
      </c>
      <c r="H889" s="21">
        <f t="shared" si="260"/>
        <v>0</v>
      </c>
      <c r="I889" s="21">
        <f>400*676.6</f>
        <v>270640</v>
      </c>
      <c r="J889" s="21">
        <f t="shared" si="261"/>
        <v>0</v>
      </c>
      <c r="K889" s="40">
        <v>0</v>
      </c>
      <c r="L889" s="21">
        <v>0</v>
      </c>
      <c r="M889" s="21">
        <v>562.9</v>
      </c>
      <c r="N889" s="21">
        <v>2983370</v>
      </c>
      <c r="O889" s="21">
        <v>0</v>
      </c>
      <c r="P889" s="21">
        <v>0</v>
      </c>
      <c r="Q889" s="21">
        <v>543.82000000000005</v>
      </c>
      <c r="R889" s="21">
        <v>1416651.1</v>
      </c>
      <c r="S889" s="21">
        <v>0</v>
      </c>
      <c r="T889" s="21">
        <v>0</v>
      </c>
      <c r="U889" s="21">
        <v>200000</v>
      </c>
    </row>
    <row r="890" spans="1:22" ht="21.95" customHeight="1">
      <c r="A890" s="17" t="s">
        <v>1258</v>
      </c>
      <c r="B890" s="29" t="s">
        <v>273</v>
      </c>
      <c r="C890" s="1">
        <f t="shared" si="232"/>
        <v>5840370.0999999996</v>
      </c>
      <c r="D890" s="21">
        <f t="shared" si="259"/>
        <v>1236910</v>
      </c>
      <c r="E890" s="21">
        <f>350*668.6</f>
        <v>234010</v>
      </c>
      <c r="F890" s="21">
        <f>800*668.6</f>
        <v>534880</v>
      </c>
      <c r="G890" s="21">
        <f>300*668.6</f>
        <v>200580</v>
      </c>
      <c r="H890" s="21">
        <f t="shared" si="260"/>
        <v>0</v>
      </c>
      <c r="I890" s="21">
        <f>400*668.6</f>
        <v>267440</v>
      </c>
      <c r="J890" s="21">
        <f t="shared" si="261"/>
        <v>0</v>
      </c>
      <c r="K890" s="40">
        <v>0</v>
      </c>
      <c r="L890" s="21">
        <v>0</v>
      </c>
      <c r="M890" s="21">
        <v>507.91</v>
      </c>
      <c r="N890" s="21">
        <v>2691923</v>
      </c>
      <c r="O890" s="21">
        <v>0</v>
      </c>
      <c r="P890" s="21">
        <v>0</v>
      </c>
      <c r="Q890" s="21">
        <v>657.02</v>
      </c>
      <c r="R890" s="21">
        <v>1711537.1</v>
      </c>
      <c r="S890" s="21">
        <v>0</v>
      </c>
      <c r="T890" s="21">
        <v>0</v>
      </c>
      <c r="U890" s="21">
        <v>200000</v>
      </c>
    </row>
    <row r="891" spans="1:22" ht="21.95" customHeight="1">
      <c r="A891" s="17" t="s">
        <v>1259</v>
      </c>
      <c r="B891" s="29" t="s">
        <v>274</v>
      </c>
      <c r="C891" s="1">
        <f t="shared" si="232"/>
        <v>1769828.75</v>
      </c>
      <c r="D891" s="21">
        <f t="shared" si="259"/>
        <v>604025</v>
      </c>
      <c r="E891" s="21">
        <f>350*326.5</f>
        <v>114275</v>
      </c>
      <c r="F891" s="21">
        <f>800*326.5</f>
        <v>261200</v>
      </c>
      <c r="G891" s="21">
        <f>300*326.5</f>
        <v>97950</v>
      </c>
      <c r="H891" s="21">
        <f t="shared" si="260"/>
        <v>0</v>
      </c>
      <c r="I891" s="21">
        <f>400*326.5</f>
        <v>130600</v>
      </c>
      <c r="J891" s="21">
        <f t="shared" si="261"/>
        <v>0</v>
      </c>
      <c r="K891" s="40">
        <v>0</v>
      </c>
      <c r="L891" s="21">
        <v>0</v>
      </c>
      <c r="M891" s="21">
        <v>0</v>
      </c>
      <c r="N891" s="21">
        <v>0</v>
      </c>
      <c r="O891" s="21">
        <v>0</v>
      </c>
      <c r="P891" s="21">
        <v>0</v>
      </c>
      <c r="Q891" s="21">
        <v>370.76</v>
      </c>
      <c r="R891" s="21">
        <v>965803.75</v>
      </c>
      <c r="S891" s="21">
        <v>0</v>
      </c>
      <c r="T891" s="21">
        <v>0</v>
      </c>
      <c r="U891" s="21">
        <v>200000</v>
      </c>
    </row>
    <row r="892" spans="1:22" ht="45" customHeight="1">
      <c r="A892" s="55" t="s">
        <v>278</v>
      </c>
      <c r="B892" s="55"/>
      <c r="C892" s="1">
        <f t="shared" si="232"/>
        <v>7609626</v>
      </c>
      <c r="D892" s="1">
        <f t="shared" ref="D892:U892" si="262">SUM(D893:D894)</f>
        <v>736070</v>
      </c>
      <c r="E892" s="1">
        <f t="shared" si="262"/>
        <v>287490</v>
      </c>
      <c r="F892" s="1">
        <f t="shared" si="262"/>
        <v>326240</v>
      </c>
      <c r="G892" s="1">
        <f t="shared" si="262"/>
        <v>122340</v>
      </c>
      <c r="H892" s="1">
        <f t="shared" si="262"/>
        <v>0</v>
      </c>
      <c r="I892" s="1">
        <f t="shared" si="262"/>
        <v>0</v>
      </c>
      <c r="J892" s="1">
        <f t="shared" si="262"/>
        <v>0</v>
      </c>
      <c r="K892" s="42">
        <f t="shared" si="262"/>
        <v>0</v>
      </c>
      <c r="L892" s="1">
        <f t="shared" si="262"/>
        <v>0</v>
      </c>
      <c r="M892" s="1">
        <f t="shared" si="262"/>
        <v>864</v>
      </c>
      <c r="N892" s="1">
        <f t="shared" si="262"/>
        <v>4579200</v>
      </c>
      <c r="O892" s="1">
        <f t="shared" si="262"/>
        <v>0</v>
      </c>
      <c r="P892" s="1">
        <f t="shared" si="262"/>
        <v>0</v>
      </c>
      <c r="Q892" s="1">
        <f t="shared" si="262"/>
        <v>727.2</v>
      </c>
      <c r="R892" s="1">
        <f t="shared" si="262"/>
        <v>1894356</v>
      </c>
      <c r="S892" s="1">
        <f t="shared" si="262"/>
        <v>0</v>
      </c>
      <c r="T892" s="1">
        <f t="shared" si="262"/>
        <v>0</v>
      </c>
      <c r="U892" s="1">
        <f t="shared" si="262"/>
        <v>400000</v>
      </c>
      <c r="V892" s="13">
        <f>C892</f>
        <v>7609626</v>
      </c>
    </row>
    <row r="893" spans="1:22" ht="21.95" customHeight="1">
      <c r="A893" s="19" t="s">
        <v>1260</v>
      </c>
      <c r="B893" s="29" t="s">
        <v>279</v>
      </c>
      <c r="C893" s="1">
        <f t="shared" si="232"/>
        <v>4028088</v>
      </c>
      <c r="D893" s="21">
        <f t="shared" ref="D893:D894" si="263">SUM(E893:J893)</f>
        <v>591310</v>
      </c>
      <c r="E893" s="21">
        <f>350*407.8</f>
        <v>142730</v>
      </c>
      <c r="F893" s="21">
        <f>800*407.8</f>
        <v>326240</v>
      </c>
      <c r="G893" s="21">
        <f>300*407.8</f>
        <v>122340</v>
      </c>
      <c r="H893" s="21">
        <f t="shared" ref="H893:H894" si="264">500*0</f>
        <v>0</v>
      </c>
      <c r="I893" s="21">
        <f>400*0</f>
        <v>0</v>
      </c>
      <c r="J893" s="21">
        <f t="shared" ref="J893:J894" si="265">350*0</f>
        <v>0</v>
      </c>
      <c r="K893" s="40">
        <v>0</v>
      </c>
      <c r="L893" s="21">
        <v>0</v>
      </c>
      <c r="M893" s="21">
        <v>432</v>
      </c>
      <c r="N893" s="21">
        <v>2289600</v>
      </c>
      <c r="O893" s="21">
        <v>0</v>
      </c>
      <c r="P893" s="21">
        <v>0</v>
      </c>
      <c r="Q893" s="21">
        <v>363.6</v>
      </c>
      <c r="R893" s="21">
        <v>947178</v>
      </c>
      <c r="S893" s="21">
        <v>0</v>
      </c>
      <c r="T893" s="21">
        <v>0</v>
      </c>
      <c r="U893" s="21">
        <v>200000</v>
      </c>
    </row>
    <row r="894" spans="1:22" ht="21.95" customHeight="1">
      <c r="A894" s="19" t="s">
        <v>1954</v>
      </c>
      <c r="B894" s="29" t="s">
        <v>280</v>
      </c>
      <c r="C894" s="1">
        <f t="shared" si="232"/>
        <v>3581538</v>
      </c>
      <c r="D894" s="21">
        <f t="shared" si="263"/>
        <v>144760</v>
      </c>
      <c r="E894" s="21">
        <f>350*413.6</f>
        <v>144760</v>
      </c>
      <c r="F894" s="21">
        <f>800*0</f>
        <v>0</v>
      </c>
      <c r="G894" s="21">
        <f>300*0</f>
        <v>0</v>
      </c>
      <c r="H894" s="21">
        <f t="shared" si="264"/>
        <v>0</v>
      </c>
      <c r="I894" s="21">
        <f>400*0</f>
        <v>0</v>
      </c>
      <c r="J894" s="21">
        <f t="shared" si="265"/>
        <v>0</v>
      </c>
      <c r="K894" s="40">
        <v>0</v>
      </c>
      <c r="L894" s="21">
        <v>0</v>
      </c>
      <c r="M894" s="21">
        <v>432</v>
      </c>
      <c r="N894" s="21">
        <v>2289600</v>
      </c>
      <c r="O894" s="21">
        <v>0</v>
      </c>
      <c r="P894" s="21">
        <v>0</v>
      </c>
      <c r="Q894" s="21">
        <v>363.6</v>
      </c>
      <c r="R894" s="21">
        <v>947178</v>
      </c>
      <c r="S894" s="21">
        <v>0</v>
      </c>
      <c r="T894" s="21">
        <v>0</v>
      </c>
      <c r="U894" s="21">
        <v>200000</v>
      </c>
    </row>
    <row r="895" spans="1:22" ht="45" customHeight="1">
      <c r="A895" s="55" t="s">
        <v>286</v>
      </c>
      <c r="B895" s="55"/>
      <c r="C895" s="1">
        <f t="shared" si="232"/>
        <v>7224956</v>
      </c>
      <c r="D895" s="1">
        <f t="shared" ref="D895:U895" si="266">SUM(D896:D897)</f>
        <v>351400</v>
      </c>
      <c r="E895" s="1">
        <f t="shared" si="266"/>
        <v>351400</v>
      </c>
      <c r="F895" s="1">
        <f t="shared" si="266"/>
        <v>0</v>
      </c>
      <c r="G895" s="1">
        <f t="shared" si="266"/>
        <v>0</v>
      </c>
      <c r="H895" s="1">
        <f t="shared" si="266"/>
        <v>0</v>
      </c>
      <c r="I895" s="1">
        <f t="shared" si="266"/>
        <v>0</v>
      </c>
      <c r="J895" s="1">
        <f t="shared" si="266"/>
        <v>0</v>
      </c>
      <c r="K895" s="42">
        <f t="shared" si="266"/>
        <v>0</v>
      </c>
      <c r="L895" s="1">
        <f t="shared" si="266"/>
        <v>0</v>
      </c>
      <c r="M895" s="1">
        <f t="shared" si="266"/>
        <v>864</v>
      </c>
      <c r="N895" s="1">
        <f t="shared" si="266"/>
        <v>4579200</v>
      </c>
      <c r="O895" s="1">
        <f t="shared" si="266"/>
        <v>0</v>
      </c>
      <c r="P895" s="1">
        <f t="shared" si="266"/>
        <v>0</v>
      </c>
      <c r="Q895" s="1">
        <f t="shared" si="266"/>
        <v>727.2</v>
      </c>
      <c r="R895" s="1">
        <f t="shared" si="266"/>
        <v>1894356</v>
      </c>
      <c r="S895" s="1">
        <f t="shared" si="266"/>
        <v>0</v>
      </c>
      <c r="T895" s="1">
        <f t="shared" si="266"/>
        <v>0</v>
      </c>
      <c r="U895" s="1">
        <f t="shared" si="266"/>
        <v>400000</v>
      </c>
      <c r="V895" s="13">
        <f>C895</f>
        <v>7224956</v>
      </c>
    </row>
    <row r="896" spans="1:22" ht="21.95" customHeight="1">
      <c r="A896" s="19" t="s">
        <v>1261</v>
      </c>
      <c r="B896" s="29" t="s">
        <v>287</v>
      </c>
      <c r="C896" s="1">
        <f t="shared" si="232"/>
        <v>3612478</v>
      </c>
      <c r="D896" s="21">
        <f t="shared" ref="D896:D897" si="267">SUM(E896:J896)</f>
        <v>175700</v>
      </c>
      <c r="E896" s="21">
        <f>350*502</f>
        <v>175700</v>
      </c>
      <c r="F896" s="21">
        <f>800*0</f>
        <v>0</v>
      </c>
      <c r="G896" s="21">
        <f>350*0</f>
        <v>0</v>
      </c>
      <c r="H896" s="21">
        <f>500*0</f>
        <v>0</v>
      </c>
      <c r="I896" s="21">
        <f>400*0</f>
        <v>0</v>
      </c>
      <c r="J896" s="21">
        <v>0</v>
      </c>
      <c r="K896" s="40">
        <v>0</v>
      </c>
      <c r="L896" s="21">
        <v>0</v>
      </c>
      <c r="M896" s="21">
        <v>432</v>
      </c>
      <c r="N896" s="21">
        <v>2289600</v>
      </c>
      <c r="O896" s="21">
        <v>0</v>
      </c>
      <c r="P896" s="21">
        <v>0</v>
      </c>
      <c r="Q896" s="21">
        <v>363.6</v>
      </c>
      <c r="R896" s="21">
        <v>947178</v>
      </c>
      <c r="S896" s="21">
        <v>0</v>
      </c>
      <c r="T896" s="21">
        <v>0</v>
      </c>
      <c r="U896" s="21">
        <v>200000</v>
      </c>
    </row>
    <row r="897" spans="1:258" ht="21.95" customHeight="1">
      <c r="A897" s="17" t="s">
        <v>1262</v>
      </c>
      <c r="B897" s="29" t="s">
        <v>288</v>
      </c>
      <c r="C897" s="1">
        <f t="shared" si="232"/>
        <v>3612478</v>
      </c>
      <c r="D897" s="21">
        <f t="shared" si="267"/>
        <v>175700</v>
      </c>
      <c r="E897" s="21">
        <f>350*502</f>
        <v>175700</v>
      </c>
      <c r="F897" s="21">
        <f>800*0</f>
        <v>0</v>
      </c>
      <c r="G897" s="21">
        <f>350*0</f>
        <v>0</v>
      </c>
      <c r="H897" s="21">
        <f>500*0</f>
        <v>0</v>
      </c>
      <c r="I897" s="21">
        <f>400*0</f>
        <v>0</v>
      </c>
      <c r="J897" s="21">
        <v>0</v>
      </c>
      <c r="K897" s="40">
        <v>0</v>
      </c>
      <c r="L897" s="21">
        <v>0</v>
      </c>
      <c r="M897" s="21">
        <v>432</v>
      </c>
      <c r="N897" s="21">
        <v>2289600</v>
      </c>
      <c r="O897" s="21">
        <v>0</v>
      </c>
      <c r="P897" s="21">
        <v>0</v>
      </c>
      <c r="Q897" s="21">
        <v>363.6</v>
      </c>
      <c r="R897" s="21">
        <v>947178</v>
      </c>
      <c r="S897" s="21">
        <v>0</v>
      </c>
      <c r="T897" s="21">
        <v>0</v>
      </c>
      <c r="U897" s="21">
        <v>200000</v>
      </c>
    </row>
    <row r="898" spans="1:258" ht="45" customHeight="1">
      <c r="A898" s="55" t="s">
        <v>390</v>
      </c>
      <c r="B898" s="55"/>
      <c r="C898" s="1">
        <f t="shared" si="232"/>
        <v>692825508</v>
      </c>
      <c r="D898" s="1">
        <f t="shared" ref="D898:U898" si="268">SUM(D899:D1068)</f>
        <v>135169677</v>
      </c>
      <c r="E898" s="1">
        <f t="shared" si="268"/>
        <v>19891840.5</v>
      </c>
      <c r="F898" s="1">
        <f t="shared" si="268"/>
        <v>45467064</v>
      </c>
      <c r="G898" s="1">
        <f t="shared" si="268"/>
        <v>19891840.5</v>
      </c>
      <c r="H898" s="1">
        <f t="shared" si="268"/>
        <v>27185400</v>
      </c>
      <c r="I898" s="1">
        <f t="shared" si="268"/>
        <v>22733532</v>
      </c>
      <c r="J898" s="1">
        <f t="shared" si="268"/>
        <v>0</v>
      </c>
      <c r="K898" s="42">
        <f t="shared" si="268"/>
        <v>3</v>
      </c>
      <c r="L898" s="1">
        <f t="shared" si="268"/>
        <v>6450000</v>
      </c>
      <c r="M898" s="1">
        <f t="shared" si="268"/>
        <v>85813.180000000022</v>
      </c>
      <c r="N898" s="1">
        <f t="shared" si="268"/>
        <v>439624124</v>
      </c>
      <c r="O898" s="1">
        <f t="shared" si="268"/>
        <v>438</v>
      </c>
      <c r="P898" s="1">
        <f t="shared" si="268"/>
        <v>525600</v>
      </c>
      <c r="Q898" s="1">
        <f t="shared" si="268"/>
        <v>29410.400000000001</v>
      </c>
      <c r="R898" s="1">
        <f t="shared" si="268"/>
        <v>76484107</v>
      </c>
      <c r="S898" s="1">
        <f t="shared" si="268"/>
        <v>472000</v>
      </c>
      <c r="T898" s="1">
        <f t="shared" si="268"/>
        <v>0</v>
      </c>
      <c r="U898" s="1">
        <f t="shared" si="268"/>
        <v>34100000</v>
      </c>
    </row>
    <row r="899" spans="1:258" ht="21.95" customHeight="1">
      <c r="A899" s="52" t="s">
        <v>1263</v>
      </c>
      <c r="B899" s="24" t="s">
        <v>788</v>
      </c>
      <c r="C899" s="1">
        <f t="shared" si="232"/>
        <v>2797000</v>
      </c>
      <c r="D899" s="21">
        <f t="shared" ref="D899:D962" si="269">SUM(E899:J899)</f>
        <v>0</v>
      </c>
      <c r="E899" s="21">
        <v>0</v>
      </c>
      <c r="F899" s="21">
        <v>0</v>
      </c>
      <c r="G899" s="21">
        <v>0</v>
      </c>
      <c r="H899" s="21">
        <v>0</v>
      </c>
      <c r="I899" s="21">
        <v>0</v>
      </c>
      <c r="J899" s="21">
        <v>0</v>
      </c>
      <c r="K899" s="5">
        <v>0</v>
      </c>
      <c r="L899" s="3">
        <v>0</v>
      </c>
      <c r="M899" s="3">
        <v>490</v>
      </c>
      <c r="N899" s="3">
        <v>2597000</v>
      </c>
      <c r="O899" s="3">
        <v>0</v>
      </c>
      <c r="P899" s="3">
        <v>0</v>
      </c>
      <c r="Q899" s="3">
        <v>0</v>
      </c>
      <c r="R899" s="3">
        <v>0</v>
      </c>
      <c r="S899" s="3">
        <v>0</v>
      </c>
      <c r="T899" s="3">
        <v>0</v>
      </c>
      <c r="U899" s="3">
        <v>200000</v>
      </c>
    </row>
    <row r="900" spans="1:258" ht="21.95" customHeight="1">
      <c r="A900" s="52" t="s">
        <v>1264</v>
      </c>
      <c r="B900" s="24" t="s">
        <v>1530</v>
      </c>
      <c r="C900" s="1">
        <f t="shared" si="232"/>
        <v>1710900</v>
      </c>
      <c r="D900" s="21">
        <f t="shared" si="269"/>
        <v>0</v>
      </c>
      <c r="E900" s="21">
        <v>0</v>
      </c>
      <c r="F900" s="21">
        <v>0</v>
      </c>
      <c r="G900" s="21">
        <v>0</v>
      </c>
      <c r="H900" s="21">
        <v>0</v>
      </c>
      <c r="I900" s="21">
        <v>0</v>
      </c>
      <c r="J900" s="21">
        <v>0</v>
      </c>
      <c r="K900" s="5">
        <v>0</v>
      </c>
      <c r="L900" s="3">
        <v>0</v>
      </c>
      <c r="M900" s="3">
        <v>0</v>
      </c>
      <c r="N900" s="3">
        <v>0</v>
      </c>
      <c r="O900" s="3">
        <v>0</v>
      </c>
      <c r="P900" s="3">
        <v>0</v>
      </c>
      <c r="Q900" s="3">
        <v>580</v>
      </c>
      <c r="R900" s="3">
        <f>Q900*2605</f>
        <v>1510900</v>
      </c>
      <c r="S900" s="3">
        <v>0</v>
      </c>
      <c r="T900" s="3">
        <v>0</v>
      </c>
      <c r="U900" s="3">
        <v>200000</v>
      </c>
    </row>
    <row r="901" spans="1:258" ht="21.95" customHeight="1">
      <c r="A901" s="52" t="s">
        <v>1265</v>
      </c>
      <c r="B901" s="30" t="s">
        <v>789</v>
      </c>
      <c r="C901" s="1">
        <f t="shared" si="232"/>
        <v>1565810</v>
      </c>
      <c r="D901" s="21">
        <f t="shared" si="269"/>
        <v>0</v>
      </c>
      <c r="E901" s="21">
        <v>0</v>
      </c>
      <c r="F901" s="21">
        <v>0</v>
      </c>
      <c r="G901" s="21">
        <v>0</v>
      </c>
      <c r="H901" s="21">
        <v>0</v>
      </c>
      <c r="I901" s="21">
        <v>0</v>
      </c>
      <c r="J901" s="21">
        <v>0</v>
      </c>
      <c r="K901" s="40">
        <v>0</v>
      </c>
      <c r="L901" s="21">
        <v>0</v>
      </c>
      <c r="M901" s="21">
        <v>257.7</v>
      </c>
      <c r="N901" s="21">
        <v>1365810</v>
      </c>
      <c r="O901" s="21">
        <v>0</v>
      </c>
      <c r="P901" s="21">
        <v>0</v>
      </c>
      <c r="Q901" s="21">
        <v>0</v>
      </c>
      <c r="R901" s="21">
        <v>0</v>
      </c>
      <c r="S901" s="21">
        <v>0</v>
      </c>
      <c r="T901" s="21">
        <v>0</v>
      </c>
      <c r="U901" s="21">
        <v>200000</v>
      </c>
    </row>
    <row r="902" spans="1:258" ht="21.95" customHeight="1">
      <c r="A902" s="52" t="s">
        <v>1266</v>
      </c>
      <c r="B902" s="30" t="s">
        <v>790</v>
      </c>
      <c r="C902" s="1">
        <f t="shared" ref="C902:C965" si="270">D902+L902+N902+P902+R902+S902+T902+U902</f>
        <v>2435540</v>
      </c>
      <c r="D902" s="21">
        <f t="shared" si="269"/>
        <v>0</v>
      </c>
      <c r="E902" s="21">
        <v>0</v>
      </c>
      <c r="F902" s="21">
        <v>0</v>
      </c>
      <c r="G902" s="21">
        <v>0</v>
      </c>
      <c r="H902" s="21">
        <v>0</v>
      </c>
      <c r="I902" s="21">
        <v>0</v>
      </c>
      <c r="J902" s="21">
        <v>0</v>
      </c>
      <c r="K902" s="40">
        <v>0</v>
      </c>
      <c r="L902" s="21">
        <v>0</v>
      </c>
      <c r="M902" s="21">
        <v>421.8</v>
      </c>
      <c r="N902" s="21">
        <v>2235540</v>
      </c>
      <c r="O902" s="21">
        <v>0</v>
      </c>
      <c r="P902" s="21">
        <v>0</v>
      </c>
      <c r="Q902" s="21">
        <v>0</v>
      </c>
      <c r="R902" s="21">
        <v>0</v>
      </c>
      <c r="S902" s="21">
        <v>0</v>
      </c>
      <c r="T902" s="21">
        <v>0</v>
      </c>
      <c r="U902" s="21">
        <v>200000</v>
      </c>
    </row>
    <row r="903" spans="1:258" ht="21.95" customHeight="1">
      <c r="A903" s="52" t="s">
        <v>1267</v>
      </c>
      <c r="B903" s="30" t="s">
        <v>791</v>
      </c>
      <c r="C903" s="1">
        <f t="shared" si="270"/>
        <v>1548850</v>
      </c>
      <c r="D903" s="21">
        <f t="shared" si="269"/>
        <v>0</v>
      </c>
      <c r="E903" s="21">
        <v>0</v>
      </c>
      <c r="F903" s="21">
        <v>0</v>
      </c>
      <c r="G903" s="21">
        <v>0</v>
      </c>
      <c r="H903" s="21">
        <v>0</v>
      </c>
      <c r="I903" s="21">
        <v>0</v>
      </c>
      <c r="J903" s="21">
        <v>0</v>
      </c>
      <c r="K903" s="40">
        <v>0</v>
      </c>
      <c r="L903" s="21">
        <v>0</v>
      </c>
      <c r="M903" s="21">
        <v>254.5</v>
      </c>
      <c r="N903" s="21">
        <v>1348850</v>
      </c>
      <c r="O903" s="21">
        <v>0</v>
      </c>
      <c r="P903" s="21">
        <v>0</v>
      </c>
      <c r="Q903" s="21">
        <v>0</v>
      </c>
      <c r="R903" s="21">
        <v>0</v>
      </c>
      <c r="S903" s="21">
        <v>0</v>
      </c>
      <c r="T903" s="21">
        <v>0</v>
      </c>
      <c r="U903" s="21">
        <v>200000</v>
      </c>
    </row>
    <row r="904" spans="1:258" s="15" customFormat="1" ht="21.95" customHeight="1">
      <c r="A904" s="52" t="s">
        <v>1268</v>
      </c>
      <c r="B904" s="24" t="s">
        <v>792</v>
      </c>
      <c r="C904" s="1">
        <f t="shared" si="270"/>
        <v>2847350</v>
      </c>
      <c r="D904" s="21">
        <f t="shared" si="269"/>
        <v>0</v>
      </c>
      <c r="E904" s="21">
        <v>0</v>
      </c>
      <c r="F904" s="21">
        <v>0</v>
      </c>
      <c r="G904" s="21">
        <v>0</v>
      </c>
      <c r="H904" s="21">
        <v>0</v>
      </c>
      <c r="I904" s="21">
        <v>0</v>
      </c>
      <c r="J904" s="21">
        <v>0</v>
      </c>
      <c r="K904" s="40">
        <v>0</v>
      </c>
      <c r="L904" s="21">
        <v>0</v>
      </c>
      <c r="M904" s="21">
        <v>499.5</v>
      </c>
      <c r="N904" s="21">
        <v>2647350</v>
      </c>
      <c r="O904" s="21">
        <v>0</v>
      </c>
      <c r="P904" s="21">
        <v>0</v>
      </c>
      <c r="Q904" s="21">
        <v>0</v>
      </c>
      <c r="R904" s="21">
        <v>0</v>
      </c>
      <c r="S904" s="21">
        <v>0</v>
      </c>
      <c r="T904" s="21">
        <v>0</v>
      </c>
      <c r="U904" s="21">
        <v>200000</v>
      </c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  <c r="FE904" s="2"/>
      <c r="FF904" s="2"/>
      <c r="FG904" s="2"/>
      <c r="FH904" s="2"/>
      <c r="FI904" s="2"/>
      <c r="FJ904" s="2"/>
      <c r="FK904" s="2"/>
      <c r="FL904" s="2"/>
      <c r="FM904" s="2"/>
      <c r="FN904" s="2"/>
      <c r="FO904" s="2"/>
      <c r="FP904" s="2"/>
      <c r="FQ904" s="2"/>
      <c r="FR904" s="2"/>
      <c r="FS904" s="2"/>
      <c r="FT904" s="2"/>
      <c r="FU904" s="2"/>
      <c r="FV904" s="2"/>
      <c r="FW904" s="2"/>
      <c r="FX904" s="2"/>
      <c r="FY904" s="2"/>
      <c r="FZ904" s="2"/>
      <c r="GA904" s="2"/>
      <c r="GB904" s="2"/>
      <c r="GC904" s="2"/>
      <c r="GD904" s="2"/>
      <c r="GE904" s="2"/>
      <c r="GF904" s="2"/>
      <c r="GG904" s="2"/>
      <c r="GH904" s="2"/>
      <c r="GI904" s="2"/>
      <c r="GJ904" s="2"/>
      <c r="GK904" s="2"/>
      <c r="GL904" s="2"/>
      <c r="GM904" s="2"/>
      <c r="GN904" s="2"/>
      <c r="GO904" s="2"/>
      <c r="GP904" s="2"/>
      <c r="GQ904" s="2"/>
      <c r="GR904" s="2"/>
      <c r="GS904" s="2"/>
      <c r="GT904" s="2"/>
      <c r="GU904" s="2"/>
      <c r="GV904" s="2"/>
      <c r="GW904" s="2"/>
      <c r="GX904" s="2"/>
      <c r="GY904" s="2"/>
      <c r="GZ904" s="2"/>
      <c r="HA904" s="2"/>
      <c r="HB904" s="2"/>
      <c r="HC904" s="2"/>
      <c r="HD904" s="2"/>
      <c r="HE904" s="2"/>
      <c r="HF904" s="2"/>
      <c r="HG904" s="2"/>
      <c r="HH904" s="2"/>
      <c r="HI904" s="2"/>
      <c r="HJ904" s="2"/>
      <c r="HK904" s="2"/>
      <c r="HL904" s="2"/>
      <c r="HM904" s="2"/>
      <c r="HN904" s="2"/>
      <c r="HO904" s="2"/>
      <c r="HP904" s="2"/>
      <c r="HQ904" s="2"/>
      <c r="HR904" s="2"/>
      <c r="HS904" s="2"/>
      <c r="HT904" s="2"/>
      <c r="HU904" s="2"/>
      <c r="HV904" s="2"/>
      <c r="HW904" s="2"/>
      <c r="HX904" s="2"/>
      <c r="HY904" s="2"/>
      <c r="HZ904" s="2"/>
      <c r="IA904" s="2"/>
      <c r="IB904" s="2"/>
      <c r="IC904" s="2"/>
      <c r="ID904" s="2"/>
      <c r="IE904" s="2"/>
      <c r="IF904" s="2"/>
      <c r="IG904" s="2"/>
      <c r="IH904" s="2"/>
      <c r="II904" s="2"/>
      <c r="IJ904" s="2"/>
      <c r="IK904" s="2"/>
      <c r="IL904" s="2"/>
      <c r="IM904" s="2"/>
      <c r="IN904" s="2"/>
      <c r="IO904" s="2"/>
      <c r="IP904" s="2"/>
      <c r="IQ904" s="2"/>
      <c r="IR904" s="2"/>
      <c r="IS904" s="2"/>
      <c r="IT904" s="2"/>
      <c r="IU904" s="2"/>
      <c r="IV904" s="2"/>
      <c r="IW904" s="2"/>
      <c r="IX904" s="2"/>
    </row>
    <row r="905" spans="1:258" s="9" customFormat="1" ht="21.95" customHeight="1">
      <c r="A905" s="52" t="s">
        <v>1269</v>
      </c>
      <c r="B905" s="24" t="s">
        <v>699</v>
      </c>
      <c r="C905" s="1">
        <f t="shared" si="270"/>
        <v>1644780</v>
      </c>
      <c r="D905" s="21">
        <f t="shared" si="269"/>
        <v>0</v>
      </c>
      <c r="E905" s="21">
        <v>0</v>
      </c>
      <c r="F905" s="21">
        <v>0</v>
      </c>
      <c r="G905" s="21">
        <v>0</v>
      </c>
      <c r="H905" s="21">
        <v>0</v>
      </c>
      <c r="I905" s="21">
        <v>0</v>
      </c>
      <c r="J905" s="21">
        <v>0</v>
      </c>
      <c r="K905" s="40">
        <v>0</v>
      </c>
      <c r="L905" s="21">
        <v>0</v>
      </c>
      <c r="M905" s="21">
        <v>272.60000000000002</v>
      </c>
      <c r="N905" s="23">
        <v>1444780</v>
      </c>
      <c r="O905" s="21">
        <v>0</v>
      </c>
      <c r="P905" s="21">
        <v>0</v>
      </c>
      <c r="Q905" s="21">
        <v>0</v>
      </c>
      <c r="R905" s="21">
        <v>0</v>
      </c>
      <c r="S905" s="21">
        <v>0</v>
      </c>
      <c r="T905" s="21">
        <v>0</v>
      </c>
      <c r="U905" s="21">
        <v>200000</v>
      </c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  <c r="FE905" s="2"/>
      <c r="FF905" s="2"/>
      <c r="FG905" s="2"/>
      <c r="FH905" s="2"/>
      <c r="FI905" s="2"/>
      <c r="FJ905" s="2"/>
      <c r="FK905" s="2"/>
      <c r="FL905" s="2"/>
      <c r="FM905" s="2"/>
      <c r="FN905" s="2"/>
      <c r="FO905" s="2"/>
      <c r="FP905" s="2"/>
      <c r="FQ905" s="2"/>
      <c r="FR905" s="2"/>
      <c r="FS905" s="2"/>
      <c r="FT905" s="2"/>
      <c r="FU905" s="2"/>
      <c r="FV905" s="2"/>
      <c r="FW905" s="2"/>
      <c r="FX905" s="2"/>
      <c r="FY905" s="2"/>
      <c r="FZ905" s="2"/>
      <c r="GA905" s="2"/>
      <c r="GB905" s="2"/>
      <c r="GC905" s="2"/>
      <c r="GD905" s="2"/>
      <c r="GE905" s="2"/>
      <c r="GF905" s="2"/>
      <c r="GG905" s="2"/>
      <c r="GH905" s="2"/>
      <c r="GI905" s="2"/>
      <c r="GJ905" s="2"/>
      <c r="GK905" s="2"/>
      <c r="GL905" s="2"/>
      <c r="GM905" s="2"/>
      <c r="GN905" s="2"/>
      <c r="GO905" s="2"/>
      <c r="GP905" s="2"/>
      <c r="GQ905" s="2"/>
      <c r="GR905" s="2"/>
      <c r="GS905" s="2"/>
      <c r="GT905" s="2"/>
      <c r="GU905" s="2"/>
      <c r="GV905" s="2"/>
      <c r="GW905" s="2"/>
      <c r="GX905" s="2"/>
      <c r="GY905" s="2"/>
      <c r="GZ905" s="2"/>
      <c r="HA905" s="2"/>
      <c r="HB905" s="2"/>
      <c r="HC905" s="2"/>
      <c r="HD905" s="2"/>
      <c r="HE905" s="2"/>
      <c r="HF905" s="2"/>
      <c r="HG905" s="2"/>
      <c r="HH905" s="2"/>
      <c r="HI905" s="2"/>
      <c r="HJ905" s="2"/>
      <c r="HK905" s="2"/>
      <c r="HL905" s="2"/>
      <c r="HM905" s="2"/>
      <c r="HN905" s="2"/>
      <c r="HO905" s="2"/>
      <c r="HP905" s="2"/>
      <c r="HQ905" s="2"/>
      <c r="HR905" s="2"/>
      <c r="HS905" s="2"/>
      <c r="HT905" s="2"/>
      <c r="HU905" s="2"/>
      <c r="HV905" s="2"/>
      <c r="HW905" s="2"/>
      <c r="HX905" s="2"/>
      <c r="HY905" s="2"/>
      <c r="HZ905" s="2"/>
      <c r="IA905" s="2"/>
      <c r="IB905" s="2"/>
      <c r="IC905" s="2"/>
      <c r="ID905" s="2"/>
      <c r="IE905" s="2"/>
      <c r="IF905" s="2"/>
      <c r="IG905" s="2"/>
      <c r="IH905" s="2"/>
      <c r="II905" s="2"/>
      <c r="IJ905" s="2"/>
      <c r="IK905" s="2"/>
      <c r="IL905" s="2"/>
      <c r="IM905" s="2"/>
      <c r="IN905" s="2"/>
      <c r="IO905" s="2"/>
      <c r="IP905" s="2"/>
      <c r="IQ905" s="2"/>
      <c r="IR905" s="2"/>
      <c r="IS905" s="2"/>
      <c r="IT905" s="2"/>
      <c r="IU905" s="2"/>
      <c r="IV905" s="2"/>
      <c r="IW905" s="2"/>
      <c r="IX905" s="2"/>
    </row>
    <row r="906" spans="1:258" ht="21.95" customHeight="1">
      <c r="A906" s="52" t="s">
        <v>1270</v>
      </c>
      <c r="B906" s="24" t="s">
        <v>793</v>
      </c>
      <c r="C906" s="1">
        <f t="shared" si="270"/>
        <v>9928247</v>
      </c>
      <c r="D906" s="21">
        <f t="shared" si="269"/>
        <v>4679757.0000000009</v>
      </c>
      <c r="E906" s="21">
        <f>350*2463.03</f>
        <v>862060.50000000012</v>
      </c>
      <c r="F906" s="21">
        <f>800*2463.03</f>
        <v>1970424.0000000002</v>
      </c>
      <c r="G906" s="21">
        <f>350*2463.03</f>
        <v>862060.50000000012</v>
      </c>
      <c r="H906" s="21">
        <f>500*0</f>
        <v>0</v>
      </c>
      <c r="I906" s="21">
        <f>400*2463.03</f>
        <v>985212.00000000012</v>
      </c>
      <c r="J906" s="21">
        <v>0</v>
      </c>
      <c r="K906" s="40">
        <v>0</v>
      </c>
      <c r="L906" s="21">
        <v>0</v>
      </c>
      <c r="M906" s="21">
        <v>0</v>
      </c>
      <c r="N906" s="21">
        <v>0</v>
      </c>
      <c r="O906" s="21">
        <v>0</v>
      </c>
      <c r="P906" s="21">
        <v>0</v>
      </c>
      <c r="Q906" s="21">
        <v>1938</v>
      </c>
      <c r="R906" s="21">
        <v>5048490</v>
      </c>
      <c r="S906" s="21">
        <v>0</v>
      </c>
      <c r="T906" s="21">
        <v>0</v>
      </c>
      <c r="U906" s="21">
        <v>200000</v>
      </c>
      <c r="V906" s="9"/>
      <c r="W906" s="9"/>
      <c r="X906" s="9"/>
      <c r="Y906" s="9"/>
      <c r="Z906" s="9"/>
      <c r="AA906" s="9"/>
      <c r="AB906" s="9"/>
      <c r="AC906" s="9"/>
      <c r="AD906" s="9"/>
      <c r="AE906" s="9"/>
      <c r="AF906" s="9"/>
      <c r="AG906" s="9"/>
      <c r="AH906" s="9"/>
      <c r="AI906" s="9"/>
      <c r="AJ906" s="9"/>
      <c r="AK906" s="9"/>
      <c r="AL906" s="9"/>
      <c r="AM906" s="9"/>
      <c r="AN906" s="9"/>
      <c r="AO906" s="9"/>
      <c r="AP906" s="9"/>
      <c r="AQ906" s="9"/>
      <c r="AR906" s="9"/>
      <c r="AS906" s="9"/>
      <c r="AT906" s="9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  <c r="BO906" s="9"/>
      <c r="BP906" s="9"/>
      <c r="BQ906" s="9"/>
      <c r="BR906" s="9"/>
      <c r="BS906" s="9"/>
      <c r="BT906" s="9"/>
      <c r="BU906" s="9"/>
      <c r="BV906" s="9"/>
      <c r="BW906" s="9"/>
      <c r="BX906" s="9"/>
      <c r="BY906" s="9"/>
      <c r="BZ906" s="9"/>
      <c r="CA906" s="9"/>
      <c r="CB906" s="9"/>
      <c r="CC906" s="9"/>
      <c r="CD906" s="9"/>
      <c r="CE906" s="9"/>
      <c r="CF906" s="9"/>
      <c r="CG906" s="9"/>
      <c r="CH906" s="9"/>
      <c r="CI906" s="9"/>
      <c r="CJ906" s="9"/>
      <c r="CK906" s="9"/>
      <c r="CL906" s="9"/>
      <c r="CM906" s="9"/>
      <c r="CN906" s="9"/>
      <c r="CO906" s="9"/>
      <c r="CP906" s="9"/>
      <c r="CQ906" s="9"/>
      <c r="CR906" s="9"/>
      <c r="CS906" s="9"/>
      <c r="CT906" s="9"/>
      <c r="CU906" s="9"/>
      <c r="CV906" s="9"/>
      <c r="CW906" s="9"/>
      <c r="CX906" s="9"/>
      <c r="CY906" s="9"/>
      <c r="CZ906" s="9"/>
      <c r="DA906" s="9"/>
      <c r="DB906" s="9"/>
      <c r="DC906" s="9"/>
      <c r="DD906" s="9"/>
      <c r="DE906" s="9"/>
      <c r="DF906" s="9"/>
      <c r="DG906" s="9"/>
      <c r="DH906" s="9"/>
      <c r="DI906" s="9"/>
      <c r="DJ906" s="9"/>
      <c r="DK906" s="9"/>
      <c r="DL906" s="9"/>
      <c r="DM906" s="9"/>
      <c r="DN906" s="9"/>
      <c r="DO906" s="9"/>
      <c r="DP906" s="9"/>
      <c r="DQ906" s="9"/>
      <c r="DR906" s="9"/>
      <c r="DS906" s="9"/>
      <c r="DT906" s="9"/>
      <c r="DU906" s="9"/>
      <c r="DV906" s="9"/>
      <c r="DW906" s="9"/>
      <c r="DX906" s="9"/>
      <c r="DY906" s="9"/>
      <c r="DZ906" s="9"/>
      <c r="EA906" s="9"/>
      <c r="EB906" s="9"/>
      <c r="EC906" s="9"/>
      <c r="ED906" s="9"/>
      <c r="EE906" s="9"/>
      <c r="EF906" s="9"/>
      <c r="EG906" s="9"/>
      <c r="EH906" s="9"/>
      <c r="EI906" s="9"/>
      <c r="EJ906" s="9"/>
      <c r="EK906" s="9"/>
      <c r="EL906" s="9"/>
      <c r="EM906" s="9"/>
      <c r="EN906" s="9"/>
      <c r="EO906" s="9"/>
      <c r="EP906" s="9"/>
      <c r="EQ906" s="9"/>
      <c r="ER906" s="9"/>
      <c r="ES906" s="9"/>
      <c r="ET906" s="9"/>
      <c r="EU906" s="9"/>
      <c r="EV906" s="9"/>
      <c r="EW906" s="9"/>
      <c r="EX906" s="9"/>
      <c r="EY906" s="9"/>
      <c r="EZ906" s="9"/>
      <c r="FA906" s="9"/>
      <c r="FB906" s="9"/>
      <c r="FC906" s="9"/>
      <c r="FD906" s="9"/>
      <c r="FE906" s="9"/>
      <c r="FF906" s="9"/>
      <c r="FG906" s="9"/>
      <c r="FH906" s="9"/>
      <c r="FI906" s="9"/>
      <c r="FJ906" s="9"/>
      <c r="FK906" s="9"/>
      <c r="FL906" s="9"/>
      <c r="FM906" s="9"/>
      <c r="FN906" s="9"/>
      <c r="FO906" s="9"/>
      <c r="FP906" s="9"/>
      <c r="FQ906" s="9"/>
      <c r="FR906" s="9"/>
      <c r="FS906" s="9"/>
      <c r="FT906" s="9"/>
      <c r="FU906" s="9"/>
      <c r="FV906" s="9"/>
      <c r="FW906" s="9"/>
      <c r="FX906" s="9"/>
      <c r="FY906" s="9"/>
      <c r="FZ906" s="9"/>
      <c r="GA906" s="9"/>
      <c r="GB906" s="9"/>
      <c r="GC906" s="9"/>
      <c r="GD906" s="9"/>
      <c r="GE906" s="9"/>
      <c r="GF906" s="9"/>
      <c r="GG906" s="9"/>
      <c r="GH906" s="9"/>
      <c r="GI906" s="9"/>
      <c r="GJ906" s="9"/>
      <c r="GK906" s="9"/>
      <c r="GL906" s="9"/>
      <c r="GM906" s="9"/>
      <c r="GN906" s="9"/>
      <c r="GO906" s="9"/>
      <c r="GP906" s="9"/>
      <c r="GQ906" s="9"/>
      <c r="GR906" s="9"/>
      <c r="GS906" s="9"/>
      <c r="GT906" s="9"/>
      <c r="GU906" s="9"/>
      <c r="GV906" s="9"/>
      <c r="GW906" s="9"/>
      <c r="GX906" s="9"/>
      <c r="GY906" s="9"/>
      <c r="GZ906" s="9"/>
      <c r="HA906" s="9"/>
      <c r="HB906" s="9"/>
      <c r="HC906" s="9"/>
      <c r="HD906" s="9"/>
      <c r="HE906" s="9"/>
      <c r="HF906" s="9"/>
      <c r="HG906" s="9"/>
      <c r="HH906" s="9"/>
      <c r="HI906" s="9"/>
      <c r="HJ906" s="9"/>
      <c r="HK906" s="9"/>
      <c r="HL906" s="9"/>
      <c r="HM906" s="9"/>
      <c r="HN906" s="9"/>
      <c r="HO906" s="9"/>
      <c r="HP906" s="9"/>
      <c r="HQ906" s="9"/>
      <c r="HR906" s="9"/>
      <c r="HS906" s="9"/>
      <c r="HT906" s="9"/>
      <c r="HU906" s="9"/>
      <c r="HV906" s="9"/>
      <c r="HW906" s="9"/>
      <c r="HX906" s="9"/>
      <c r="HY906" s="9"/>
      <c r="HZ906" s="9"/>
      <c r="IA906" s="9"/>
      <c r="IB906" s="9"/>
      <c r="IC906" s="9"/>
      <c r="ID906" s="9"/>
      <c r="IE906" s="9"/>
      <c r="IF906" s="9"/>
      <c r="IG906" s="9"/>
      <c r="IH906" s="9"/>
      <c r="II906" s="9"/>
      <c r="IJ906" s="9"/>
      <c r="IK906" s="9"/>
      <c r="IL906" s="9"/>
      <c r="IM906" s="9"/>
      <c r="IN906" s="9"/>
      <c r="IO906" s="9"/>
      <c r="IP906" s="9"/>
      <c r="IQ906" s="9"/>
      <c r="IR906" s="9"/>
      <c r="IS906" s="9"/>
      <c r="IT906" s="9"/>
      <c r="IU906" s="9"/>
      <c r="IV906" s="9"/>
      <c r="IW906" s="9"/>
      <c r="IX906" s="9"/>
    </row>
    <row r="907" spans="1:258" ht="21.95" customHeight="1">
      <c r="A907" s="52" t="s">
        <v>1271</v>
      </c>
      <c r="B907" s="24" t="s">
        <v>794</v>
      </c>
      <c r="C907" s="1">
        <f t="shared" si="270"/>
        <v>4806230</v>
      </c>
      <c r="D907" s="21">
        <f t="shared" si="269"/>
        <v>0</v>
      </c>
      <c r="E907" s="21">
        <v>0</v>
      </c>
      <c r="F907" s="21">
        <v>0</v>
      </c>
      <c r="G907" s="21">
        <v>0</v>
      </c>
      <c r="H907" s="21">
        <v>0</v>
      </c>
      <c r="I907" s="21">
        <v>0</v>
      </c>
      <c r="J907" s="21">
        <v>0</v>
      </c>
      <c r="K907" s="40">
        <v>0</v>
      </c>
      <c r="L907" s="21">
        <v>0</v>
      </c>
      <c r="M907" s="21">
        <v>869.1</v>
      </c>
      <c r="N907" s="21">
        <v>4606230</v>
      </c>
      <c r="O907" s="21">
        <v>0</v>
      </c>
      <c r="P907" s="21">
        <v>0</v>
      </c>
      <c r="Q907" s="21">
        <v>0</v>
      </c>
      <c r="R907" s="21">
        <v>0</v>
      </c>
      <c r="S907" s="21">
        <v>0</v>
      </c>
      <c r="T907" s="21">
        <v>0</v>
      </c>
      <c r="U907" s="21">
        <v>200000</v>
      </c>
    </row>
    <row r="908" spans="1:258" ht="21.95" customHeight="1">
      <c r="A908" s="52" t="s">
        <v>1272</v>
      </c>
      <c r="B908" s="24" t="s">
        <v>795</v>
      </c>
      <c r="C908" s="1">
        <f t="shared" si="270"/>
        <v>4885200</v>
      </c>
      <c r="D908" s="21">
        <f t="shared" si="269"/>
        <v>0</v>
      </c>
      <c r="E908" s="21">
        <v>0</v>
      </c>
      <c r="F908" s="21">
        <v>0</v>
      </c>
      <c r="G908" s="21">
        <v>0</v>
      </c>
      <c r="H908" s="21">
        <v>0</v>
      </c>
      <c r="I908" s="21">
        <v>0</v>
      </c>
      <c r="J908" s="21">
        <v>0</v>
      </c>
      <c r="K908" s="5">
        <v>0</v>
      </c>
      <c r="L908" s="3">
        <v>0</v>
      </c>
      <c r="M908" s="3">
        <v>884</v>
      </c>
      <c r="N908" s="3">
        <v>4685200</v>
      </c>
      <c r="O908" s="3">
        <v>0</v>
      </c>
      <c r="P908" s="3">
        <v>0</v>
      </c>
      <c r="Q908" s="3">
        <v>0</v>
      </c>
      <c r="R908" s="3">
        <v>0</v>
      </c>
      <c r="S908" s="3">
        <v>0</v>
      </c>
      <c r="T908" s="3">
        <v>0</v>
      </c>
      <c r="U908" s="3">
        <v>200000</v>
      </c>
    </row>
    <row r="909" spans="1:258" ht="21.95" customHeight="1">
      <c r="A909" s="52" t="s">
        <v>1794</v>
      </c>
      <c r="B909" s="24" t="s">
        <v>700</v>
      </c>
      <c r="C909" s="1">
        <f t="shared" si="270"/>
        <v>3159520</v>
      </c>
      <c r="D909" s="21">
        <f t="shared" si="269"/>
        <v>0</v>
      </c>
      <c r="E909" s="21">
        <v>0</v>
      </c>
      <c r="F909" s="21">
        <v>0</v>
      </c>
      <c r="G909" s="21">
        <v>0</v>
      </c>
      <c r="H909" s="21">
        <v>0</v>
      </c>
      <c r="I909" s="21">
        <v>0</v>
      </c>
      <c r="J909" s="21">
        <v>0</v>
      </c>
      <c r="K909" s="40">
        <v>0</v>
      </c>
      <c r="L909" s="21">
        <v>0</v>
      </c>
      <c r="M909" s="21">
        <v>558.4</v>
      </c>
      <c r="N909" s="23">
        <v>2959520</v>
      </c>
      <c r="O909" s="21">
        <v>0</v>
      </c>
      <c r="P909" s="21">
        <v>0</v>
      </c>
      <c r="Q909" s="21">
        <v>0</v>
      </c>
      <c r="R909" s="21">
        <v>0</v>
      </c>
      <c r="S909" s="21">
        <v>0</v>
      </c>
      <c r="T909" s="3">
        <v>0</v>
      </c>
      <c r="U909" s="3">
        <v>200000</v>
      </c>
    </row>
    <row r="910" spans="1:258" ht="21.95" customHeight="1">
      <c r="A910" s="52" t="s">
        <v>1795</v>
      </c>
      <c r="B910" s="24" t="s">
        <v>796</v>
      </c>
      <c r="C910" s="1">
        <f t="shared" si="270"/>
        <v>3212997</v>
      </c>
      <c r="D910" s="21">
        <f t="shared" si="269"/>
        <v>0</v>
      </c>
      <c r="E910" s="21">
        <v>0</v>
      </c>
      <c r="F910" s="21">
        <v>0</v>
      </c>
      <c r="G910" s="21">
        <v>0</v>
      </c>
      <c r="H910" s="21">
        <v>0</v>
      </c>
      <c r="I910" s="21">
        <v>0</v>
      </c>
      <c r="J910" s="21">
        <v>0</v>
      </c>
      <c r="K910" s="40">
        <v>0</v>
      </c>
      <c r="L910" s="21">
        <v>0</v>
      </c>
      <c r="M910" s="21">
        <v>568.49</v>
      </c>
      <c r="N910" s="3">
        <v>3012997</v>
      </c>
      <c r="O910" s="21">
        <v>0</v>
      </c>
      <c r="P910" s="21">
        <v>0</v>
      </c>
      <c r="Q910" s="21">
        <v>0</v>
      </c>
      <c r="R910" s="21">
        <v>0</v>
      </c>
      <c r="S910" s="21">
        <v>0</v>
      </c>
      <c r="T910" s="3">
        <v>0</v>
      </c>
      <c r="U910" s="3">
        <v>200000</v>
      </c>
    </row>
    <row r="911" spans="1:258" ht="21.95" customHeight="1">
      <c r="A911" s="52" t="s">
        <v>1273</v>
      </c>
      <c r="B911" s="24" t="s">
        <v>687</v>
      </c>
      <c r="C911" s="1">
        <f t="shared" si="270"/>
        <v>1370770</v>
      </c>
      <c r="D911" s="21">
        <f t="shared" si="269"/>
        <v>0</v>
      </c>
      <c r="E911" s="21">
        <v>0</v>
      </c>
      <c r="F911" s="21">
        <v>0</v>
      </c>
      <c r="G911" s="21">
        <v>0</v>
      </c>
      <c r="H911" s="21">
        <v>0</v>
      </c>
      <c r="I911" s="21">
        <v>0</v>
      </c>
      <c r="J911" s="21">
        <v>0</v>
      </c>
      <c r="K911" s="5">
        <v>0</v>
      </c>
      <c r="L911" s="3">
        <v>0</v>
      </c>
      <c r="M911" s="3">
        <v>220.9</v>
      </c>
      <c r="N911" s="3">
        <v>1170770</v>
      </c>
      <c r="O911" s="21">
        <v>0</v>
      </c>
      <c r="P911" s="21">
        <v>0</v>
      </c>
      <c r="Q911" s="21">
        <v>0</v>
      </c>
      <c r="R911" s="21">
        <v>0</v>
      </c>
      <c r="S911" s="21">
        <v>0</v>
      </c>
      <c r="T911" s="3">
        <v>0</v>
      </c>
      <c r="U911" s="3">
        <v>200000</v>
      </c>
    </row>
    <row r="912" spans="1:258" ht="21.95" customHeight="1">
      <c r="A912" s="52" t="s">
        <v>1274</v>
      </c>
      <c r="B912" s="24" t="s">
        <v>701</v>
      </c>
      <c r="C912" s="1">
        <f t="shared" si="270"/>
        <v>1337168</v>
      </c>
      <c r="D912" s="21">
        <f t="shared" si="269"/>
        <v>0</v>
      </c>
      <c r="E912" s="21">
        <v>0</v>
      </c>
      <c r="F912" s="21">
        <v>0</v>
      </c>
      <c r="G912" s="21">
        <v>0</v>
      </c>
      <c r="H912" s="21">
        <v>0</v>
      </c>
      <c r="I912" s="21">
        <v>0</v>
      </c>
      <c r="J912" s="21">
        <v>0</v>
      </c>
      <c r="K912" s="5">
        <v>0</v>
      </c>
      <c r="L912" s="3">
        <v>0</v>
      </c>
      <c r="M912" s="21">
        <v>214.56</v>
      </c>
      <c r="N912" s="23">
        <v>1137168</v>
      </c>
      <c r="O912" s="21">
        <v>0</v>
      </c>
      <c r="P912" s="21">
        <v>0</v>
      </c>
      <c r="Q912" s="21">
        <v>0</v>
      </c>
      <c r="R912" s="21">
        <v>0</v>
      </c>
      <c r="S912" s="21">
        <v>0</v>
      </c>
      <c r="T912" s="3">
        <v>0</v>
      </c>
      <c r="U912" s="3">
        <v>200000</v>
      </c>
    </row>
    <row r="913" spans="1:258" ht="21.95" customHeight="1">
      <c r="A913" s="52" t="s">
        <v>1275</v>
      </c>
      <c r="B913" s="24" t="s">
        <v>797</v>
      </c>
      <c r="C913" s="1">
        <f t="shared" si="270"/>
        <v>1567930</v>
      </c>
      <c r="D913" s="21">
        <f t="shared" si="269"/>
        <v>0</v>
      </c>
      <c r="E913" s="21">
        <v>0</v>
      </c>
      <c r="F913" s="21">
        <v>0</v>
      </c>
      <c r="G913" s="21">
        <v>0</v>
      </c>
      <c r="H913" s="21">
        <v>0</v>
      </c>
      <c r="I913" s="21">
        <v>0</v>
      </c>
      <c r="J913" s="21">
        <v>0</v>
      </c>
      <c r="K913" s="5">
        <v>0</v>
      </c>
      <c r="L913" s="3">
        <v>0</v>
      </c>
      <c r="M913" s="3">
        <v>258.10000000000002</v>
      </c>
      <c r="N913" s="3">
        <v>1367930</v>
      </c>
      <c r="O913" s="3">
        <v>0</v>
      </c>
      <c r="P913" s="3">
        <v>0</v>
      </c>
      <c r="Q913" s="3">
        <v>0</v>
      </c>
      <c r="R913" s="3">
        <v>0</v>
      </c>
      <c r="S913" s="3">
        <v>0</v>
      </c>
      <c r="T913" s="3">
        <v>0</v>
      </c>
      <c r="U913" s="3">
        <v>200000</v>
      </c>
    </row>
    <row r="914" spans="1:258" ht="21.95" customHeight="1">
      <c r="A914" s="52" t="s">
        <v>1276</v>
      </c>
      <c r="B914" s="24" t="s">
        <v>702</v>
      </c>
      <c r="C914" s="1">
        <f t="shared" si="270"/>
        <v>3146800</v>
      </c>
      <c r="D914" s="21">
        <f t="shared" si="269"/>
        <v>0</v>
      </c>
      <c r="E914" s="21">
        <v>0</v>
      </c>
      <c r="F914" s="21">
        <v>0</v>
      </c>
      <c r="G914" s="21">
        <v>0</v>
      </c>
      <c r="H914" s="21">
        <v>0</v>
      </c>
      <c r="I914" s="21">
        <v>0</v>
      </c>
      <c r="J914" s="21">
        <v>0</v>
      </c>
      <c r="K914" s="5">
        <v>0</v>
      </c>
      <c r="L914" s="3">
        <v>0</v>
      </c>
      <c r="M914" s="21">
        <v>556</v>
      </c>
      <c r="N914" s="23">
        <v>2946800</v>
      </c>
      <c r="O914" s="3">
        <v>0</v>
      </c>
      <c r="P914" s="3">
        <v>0</v>
      </c>
      <c r="Q914" s="3">
        <v>0</v>
      </c>
      <c r="R914" s="3">
        <v>0</v>
      </c>
      <c r="S914" s="3">
        <v>0</v>
      </c>
      <c r="T914" s="3">
        <v>0</v>
      </c>
      <c r="U914" s="3">
        <v>200000</v>
      </c>
    </row>
    <row r="915" spans="1:258" ht="21.95" customHeight="1">
      <c r="A915" s="52" t="s">
        <v>1277</v>
      </c>
      <c r="B915" s="24" t="s">
        <v>1346</v>
      </c>
      <c r="C915" s="1">
        <f t="shared" si="270"/>
        <v>2932000</v>
      </c>
      <c r="D915" s="21">
        <f t="shared" si="269"/>
        <v>0</v>
      </c>
      <c r="E915" s="21">
        <v>0</v>
      </c>
      <c r="F915" s="21">
        <v>0</v>
      </c>
      <c r="G915" s="21">
        <v>0</v>
      </c>
      <c r="H915" s="21">
        <v>0</v>
      </c>
      <c r="I915" s="21">
        <v>0</v>
      </c>
      <c r="J915" s="21">
        <v>0</v>
      </c>
      <c r="K915" s="5">
        <v>0</v>
      </c>
      <c r="L915" s="3">
        <v>0</v>
      </c>
      <c r="M915" s="21">
        <v>300</v>
      </c>
      <c r="N915" s="23">
        <f>M915*5300</f>
        <v>1590000</v>
      </c>
      <c r="O915" s="3">
        <v>0</v>
      </c>
      <c r="P915" s="3">
        <v>0</v>
      </c>
      <c r="Q915" s="3">
        <v>400</v>
      </c>
      <c r="R915" s="3">
        <f>Q915*2605</f>
        <v>1042000</v>
      </c>
      <c r="S915" s="3">
        <v>0</v>
      </c>
      <c r="T915" s="3">
        <v>0</v>
      </c>
      <c r="U915" s="3">
        <v>300000</v>
      </c>
    </row>
    <row r="916" spans="1:258" ht="21.95" customHeight="1">
      <c r="A916" s="52" t="s">
        <v>1278</v>
      </c>
      <c r="B916" s="24" t="s">
        <v>798</v>
      </c>
      <c r="C916" s="1">
        <f t="shared" si="270"/>
        <v>3687400</v>
      </c>
      <c r="D916" s="21">
        <f t="shared" si="269"/>
        <v>0</v>
      </c>
      <c r="E916" s="21">
        <v>0</v>
      </c>
      <c r="F916" s="21">
        <v>0</v>
      </c>
      <c r="G916" s="21">
        <v>0</v>
      </c>
      <c r="H916" s="21">
        <v>0</v>
      </c>
      <c r="I916" s="21">
        <v>0</v>
      </c>
      <c r="J916" s="21">
        <v>0</v>
      </c>
      <c r="K916" s="40">
        <v>0</v>
      </c>
      <c r="L916" s="21">
        <v>0</v>
      </c>
      <c r="M916" s="21">
        <v>658</v>
      </c>
      <c r="N916" s="3">
        <v>3487400</v>
      </c>
      <c r="O916" s="3">
        <v>0</v>
      </c>
      <c r="P916" s="3">
        <v>0</v>
      </c>
      <c r="Q916" s="3">
        <v>0</v>
      </c>
      <c r="R916" s="3">
        <v>0</v>
      </c>
      <c r="S916" s="3">
        <v>0</v>
      </c>
      <c r="T916" s="3">
        <v>0</v>
      </c>
      <c r="U916" s="3">
        <v>200000</v>
      </c>
    </row>
    <row r="917" spans="1:258" ht="21.95" customHeight="1">
      <c r="A917" s="52" t="s">
        <v>1279</v>
      </c>
      <c r="B917" s="24" t="s">
        <v>799</v>
      </c>
      <c r="C917" s="1">
        <f t="shared" si="270"/>
        <v>3607900</v>
      </c>
      <c r="D917" s="21">
        <f t="shared" si="269"/>
        <v>0</v>
      </c>
      <c r="E917" s="21">
        <v>0</v>
      </c>
      <c r="F917" s="21">
        <v>0</v>
      </c>
      <c r="G917" s="21">
        <v>0</v>
      </c>
      <c r="H917" s="21">
        <v>0</v>
      </c>
      <c r="I917" s="21">
        <v>0</v>
      </c>
      <c r="J917" s="21">
        <v>0</v>
      </c>
      <c r="K917" s="40">
        <v>0</v>
      </c>
      <c r="L917" s="21">
        <v>0</v>
      </c>
      <c r="M917" s="3">
        <v>643</v>
      </c>
      <c r="N917" s="3">
        <v>3407900</v>
      </c>
      <c r="O917" s="3">
        <v>0</v>
      </c>
      <c r="P917" s="3">
        <v>0</v>
      </c>
      <c r="Q917" s="3">
        <v>0</v>
      </c>
      <c r="R917" s="3">
        <v>0</v>
      </c>
      <c r="S917" s="3">
        <v>0</v>
      </c>
      <c r="T917" s="3">
        <v>0</v>
      </c>
      <c r="U917" s="3">
        <v>200000</v>
      </c>
      <c r="V917" s="9"/>
      <c r="W917" s="9"/>
      <c r="X917" s="9"/>
      <c r="Y917" s="9"/>
      <c r="Z917" s="9"/>
      <c r="AA917" s="9"/>
      <c r="AB917" s="9"/>
      <c r="AC917" s="9"/>
      <c r="AD917" s="9"/>
      <c r="AE917" s="9"/>
      <c r="AF917" s="9"/>
      <c r="AG917" s="9"/>
      <c r="AH917" s="9"/>
      <c r="AI917" s="9"/>
      <c r="AJ917" s="9"/>
      <c r="AK917" s="9"/>
      <c r="AL917" s="9"/>
      <c r="AM917" s="9"/>
      <c r="AN917" s="9"/>
      <c r="AO917" s="9"/>
      <c r="AP917" s="9"/>
      <c r="AQ917" s="9"/>
      <c r="AR917" s="9"/>
      <c r="AS917" s="9"/>
      <c r="AT917" s="9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  <c r="BO917" s="9"/>
      <c r="BP917" s="9"/>
      <c r="BQ917" s="9"/>
      <c r="BR917" s="9"/>
      <c r="BS917" s="9"/>
      <c r="BT917" s="9"/>
      <c r="BU917" s="9"/>
      <c r="BV917" s="9"/>
      <c r="BW917" s="9"/>
      <c r="BX917" s="9"/>
      <c r="BY917" s="9"/>
      <c r="BZ917" s="9"/>
      <c r="CA917" s="9"/>
      <c r="CB917" s="9"/>
      <c r="CC917" s="9"/>
      <c r="CD917" s="9"/>
      <c r="CE917" s="9"/>
      <c r="CF917" s="9"/>
      <c r="CG917" s="9"/>
      <c r="CH917" s="9"/>
      <c r="CI917" s="9"/>
      <c r="CJ917" s="9"/>
      <c r="CK917" s="9"/>
      <c r="CL917" s="9"/>
      <c r="CM917" s="9"/>
      <c r="CN917" s="9"/>
      <c r="CO917" s="9"/>
      <c r="CP917" s="9"/>
      <c r="CQ917" s="9"/>
      <c r="CR917" s="9"/>
      <c r="CS917" s="9"/>
      <c r="CT917" s="9"/>
      <c r="CU917" s="9"/>
      <c r="CV917" s="9"/>
      <c r="CW917" s="9"/>
      <c r="CX917" s="9"/>
      <c r="CY917" s="9"/>
      <c r="CZ917" s="9"/>
      <c r="DA917" s="9"/>
      <c r="DB917" s="9"/>
      <c r="DC917" s="9"/>
      <c r="DD917" s="9"/>
      <c r="DE917" s="9"/>
      <c r="DF917" s="9"/>
      <c r="DG917" s="9"/>
      <c r="DH917" s="9"/>
      <c r="DI917" s="9"/>
      <c r="DJ917" s="9"/>
      <c r="DK917" s="9"/>
      <c r="DL917" s="9"/>
      <c r="DM917" s="9"/>
      <c r="DN917" s="9"/>
      <c r="DO917" s="9"/>
      <c r="DP917" s="9"/>
      <c r="DQ917" s="9"/>
      <c r="DR917" s="9"/>
      <c r="DS917" s="9"/>
      <c r="DT917" s="9"/>
      <c r="DU917" s="9"/>
      <c r="DV917" s="9"/>
      <c r="DW917" s="9"/>
      <c r="DX917" s="9"/>
      <c r="DY917" s="9"/>
      <c r="DZ917" s="9"/>
      <c r="EA917" s="9"/>
      <c r="EB917" s="9"/>
      <c r="EC917" s="9"/>
      <c r="ED917" s="9"/>
      <c r="EE917" s="9"/>
      <c r="EF917" s="9"/>
      <c r="EG917" s="9"/>
      <c r="EH917" s="9"/>
      <c r="EI917" s="9"/>
      <c r="EJ917" s="9"/>
      <c r="EK917" s="9"/>
      <c r="EL917" s="9"/>
      <c r="EM917" s="9"/>
      <c r="EN917" s="9"/>
      <c r="EO917" s="9"/>
      <c r="EP917" s="9"/>
      <c r="EQ917" s="9"/>
      <c r="ER917" s="9"/>
      <c r="ES917" s="9"/>
      <c r="ET917" s="9"/>
      <c r="EU917" s="9"/>
      <c r="EV917" s="9"/>
      <c r="EW917" s="9"/>
      <c r="EX917" s="9"/>
      <c r="EY917" s="9"/>
      <c r="EZ917" s="9"/>
      <c r="FA917" s="9"/>
      <c r="FB917" s="9"/>
      <c r="FC917" s="9"/>
      <c r="FD917" s="9"/>
      <c r="FE917" s="9"/>
      <c r="FF917" s="9"/>
      <c r="FG917" s="9"/>
      <c r="FH917" s="9"/>
      <c r="FI917" s="9"/>
      <c r="FJ917" s="9"/>
      <c r="FK917" s="9"/>
      <c r="FL917" s="9"/>
      <c r="FM917" s="9"/>
      <c r="FN917" s="9"/>
      <c r="FO917" s="9"/>
      <c r="FP917" s="9"/>
      <c r="FQ917" s="9"/>
      <c r="FR917" s="9"/>
      <c r="FS917" s="9"/>
      <c r="FT917" s="9"/>
      <c r="FU917" s="9"/>
      <c r="FV917" s="9"/>
      <c r="FW917" s="9"/>
      <c r="FX917" s="9"/>
      <c r="FY917" s="9"/>
      <c r="FZ917" s="9"/>
      <c r="GA917" s="9"/>
      <c r="GB917" s="9"/>
      <c r="GC917" s="9"/>
      <c r="GD917" s="9"/>
      <c r="GE917" s="9"/>
      <c r="GF917" s="9"/>
      <c r="GG917" s="9"/>
      <c r="GH917" s="9"/>
      <c r="GI917" s="9"/>
      <c r="GJ917" s="9"/>
      <c r="GK917" s="9"/>
      <c r="GL917" s="9"/>
      <c r="GM917" s="9"/>
      <c r="GN917" s="9"/>
      <c r="GO917" s="9"/>
      <c r="GP917" s="9"/>
      <c r="GQ917" s="9"/>
      <c r="GR917" s="9"/>
      <c r="GS917" s="9"/>
      <c r="GT917" s="9"/>
      <c r="GU917" s="9"/>
      <c r="GV917" s="9"/>
      <c r="GW917" s="9"/>
      <c r="GX917" s="9"/>
      <c r="GY917" s="9"/>
      <c r="GZ917" s="9"/>
      <c r="HA917" s="9"/>
      <c r="HB917" s="9"/>
      <c r="HC917" s="9"/>
      <c r="HD917" s="9"/>
      <c r="HE917" s="9"/>
      <c r="HF917" s="9"/>
      <c r="HG917" s="9"/>
      <c r="HH917" s="9"/>
      <c r="HI917" s="9"/>
      <c r="HJ917" s="9"/>
      <c r="HK917" s="9"/>
      <c r="HL917" s="9"/>
      <c r="HM917" s="9"/>
      <c r="HN917" s="9"/>
      <c r="HO917" s="9"/>
      <c r="HP917" s="9"/>
      <c r="HQ917" s="9"/>
      <c r="HR917" s="9"/>
      <c r="HS917" s="9"/>
      <c r="HT917" s="9"/>
      <c r="HU917" s="9"/>
      <c r="HV917" s="9"/>
      <c r="HW917" s="9"/>
      <c r="HX917" s="9"/>
      <c r="HY917" s="9"/>
      <c r="HZ917" s="9"/>
      <c r="IA917" s="9"/>
      <c r="IB917" s="9"/>
      <c r="IC917" s="9"/>
      <c r="ID917" s="9"/>
      <c r="IE917" s="9"/>
      <c r="IF917" s="9"/>
      <c r="IG917" s="9"/>
      <c r="IH917" s="9"/>
      <c r="II917" s="9"/>
      <c r="IJ917" s="9"/>
      <c r="IK917" s="9"/>
      <c r="IL917" s="9"/>
      <c r="IM917" s="9"/>
      <c r="IN917" s="9"/>
      <c r="IO917" s="9"/>
      <c r="IP917" s="9"/>
      <c r="IQ917" s="9"/>
      <c r="IR917" s="9"/>
      <c r="IS917" s="9"/>
      <c r="IT917" s="9"/>
      <c r="IU917" s="9"/>
      <c r="IV917" s="9"/>
      <c r="IW917" s="9"/>
      <c r="IX917" s="9"/>
    </row>
    <row r="918" spans="1:258" ht="21.95" customHeight="1">
      <c r="A918" s="52" t="s">
        <v>1280</v>
      </c>
      <c r="B918" s="24" t="s">
        <v>800</v>
      </c>
      <c r="C918" s="1">
        <f t="shared" si="270"/>
        <v>1780460</v>
      </c>
      <c r="D918" s="21">
        <f t="shared" si="269"/>
        <v>0</v>
      </c>
      <c r="E918" s="21">
        <v>0</v>
      </c>
      <c r="F918" s="21">
        <v>0</v>
      </c>
      <c r="G918" s="21">
        <v>0</v>
      </c>
      <c r="H918" s="21">
        <v>0</v>
      </c>
      <c r="I918" s="21">
        <v>0</v>
      </c>
      <c r="J918" s="21">
        <v>0</v>
      </c>
      <c r="K918" s="40">
        <v>0</v>
      </c>
      <c r="L918" s="21">
        <v>0</v>
      </c>
      <c r="M918" s="21">
        <v>298.2</v>
      </c>
      <c r="N918" s="3">
        <v>1580460</v>
      </c>
      <c r="O918" s="3">
        <v>0</v>
      </c>
      <c r="P918" s="3">
        <v>0</v>
      </c>
      <c r="Q918" s="3">
        <v>0</v>
      </c>
      <c r="R918" s="3">
        <v>0</v>
      </c>
      <c r="S918" s="3">
        <v>0</v>
      </c>
      <c r="T918" s="3">
        <v>0</v>
      </c>
      <c r="U918" s="3">
        <v>200000</v>
      </c>
    </row>
    <row r="919" spans="1:258" ht="21.95" customHeight="1">
      <c r="A919" s="52" t="s">
        <v>1281</v>
      </c>
      <c r="B919" s="24" t="s">
        <v>801</v>
      </c>
      <c r="C919" s="1">
        <f t="shared" si="270"/>
        <v>1344800</v>
      </c>
      <c r="D919" s="21">
        <f t="shared" si="269"/>
        <v>0</v>
      </c>
      <c r="E919" s="21">
        <v>0</v>
      </c>
      <c r="F919" s="21">
        <v>0</v>
      </c>
      <c r="G919" s="21">
        <v>0</v>
      </c>
      <c r="H919" s="21">
        <v>0</v>
      </c>
      <c r="I919" s="21">
        <v>0</v>
      </c>
      <c r="J919" s="21">
        <v>0</v>
      </c>
      <c r="K919" s="40">
        <v>0</v>
      </c>
      <c r="L919" s="21">
        <v>0</v>
      </c>
      <c r="M919" s="3">
        <v>216</v>
      </c>
      <c r="N919" s="3">
        <v>1144800</v>
      </c>
      <c r="O919" s="3">
        <v>0</v>
      </c>
      <c r="P919" s="3">
        <v>0</v>
      </c>
      <c r="Q919" s="3">
        <v>0</v>
      </c>
      <c r="R919" s="3">
        <v>0</v>
      </c>
      <c r="S919" s="3">
        <v>0</v>
      </c>
      <c r="T919" s="3">
        <v>0</v>
      </c>
      <c r="U919" s="3">
        <v>200000</v>
      </c>
      <c r="V919" s="4"/>
    </row>
    <row r="920" spans="1:258" s="12" customFormat="1" ht="21.95" customHeight="1">
      <c r="A920" s="52" t="s">
        <v>1282</v>
      </c>
      <c r="B920" s="24" t="s">
        <v>703</v>
      </c>
      <c r="C920" s="1">
        <f t="shared" si="270"/>
        <v>2134500</v>
      </c>
      <c r="D920" s="21">
        <f t="shared" si="269"/>
        <v>0</v>
      </c>
      <c r="E920" s="21">
        <v>0</v>
      </c>
      <c r="F920" s="21">
        <v>0</v>
      </c>
      <c r="G920" s="21">
        <v>0</v>
      </c>
      <c r="H920" s="21">
        <v>0</v>
      </c>
      <c r="I920" s="21">
        <v>0</v>
      </c>
      <c r="J920" s="21">
        <v>0</v>
      </c>
      <c r="K920" s="40">
        <v>0</v>
      </c>
      <c r="L920" s="21">
        <v>0</v>
      </c>
      <c r="M920" s="21">
        <v>365</v>
      </c>
      <c r="N920" s="23">
        <v>1934500</v>
      </c>
      <c r="O920" s="3">
        <v>0</v>
      </c>
      <c r="P920" s="3">
        <v>0</v>
      </c>
      <c r="Q920" s="3">
        <v>0</v>
      </c>
      <c r="R920" s="3">
        <v>0</v>
      </c>
      <c r="S920" s="3">
        <v>0</v>
      </c>
      <c r="T920" s="3">
        <v>0</v>
      </c>
      <c r="U920" s="3">
        <v>200000</v>
      </c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  <c r="FE920" s="2"/>
      <c r="FF920" s="2"/>
      <c r="FG920" s="2"/>
      <c r="FH920" s="2"/>
      <c r="FI920" s="2"/>
      <c r="FJ920" s="2"/>
      <c r="FK920" s="2"/>
      <c r="FL920" s="2"/>
      <c r="FM920" s="2"/>
      <c r="FN920" s="2"/>
      <c r="FO920" s="2"/>
      <c r="FP920" s="2"/>
      <c r="FQ920" s="2"/>
      <c r="FR920" s="2"/>
      <c r="FS920" s="2"/>
      <c r="FT920" s="2"/>
      <c r="FU920" s="2"/>
      <c r="FV920" s="2"/>
      <c r="FW920" s="2"/>
      <c r="FX920" s="2"/>
      <c r="FY920" s="2"/>
      <c r="FZ920" s="2"/>
      <c r="GA920" s="2"/>
      <c r="GB920" s="2"/>
      <c r="GC920" s="2"/>
      <c r="GD920" s="2"/>
      <c r="GE920" s="2"/>
      <c r="GF920" s="2"/>
      <c r="GG920" s="2"/>
      <c r="GH920" s="2"/>
      <c r="GI920" s="2"/>
      <c r="GJ920" s="2"/>
      <c r="GK920" s="2"/>
      <c r="GL920" s="2"/>
      <c r="GM920" s="2"/>
      <c r="GN920" s="2"/>
      <c r="GO920" s="2"/>
      <c r="GP920" s="2"/>
      <c r="GQ920" s="2"/>
      <c r="GR920" s="2"/>
      <c r="GS920" s="2"/>
      <c r="GT920" s="2"/>
      <c r="GU920" s="2"/>
      <c r="GV920" s="2"/>
      <c r="GW920" s="2"/>
      <c r="GX920" s="2"/>
      <c r="GY920" s="2"/>
      <c r="GZ920" s="2"/>
      <c r="HA920" s="2"/>
      <c r="HB920" s="2"/>
      <c r="HC920" s="2"/>
      <c r="HD920" s="2"/>
      <c r="HE920" s="2"/>
      <c r="HF920" s="2"/>
      <c r="HG920" s="2"/>
      <c r="HH920" s="2"/>
      <c r="HI920" s="2"/>
      <c r="HJ920" s="2"/>
      <c r="HK920" s="2"/>
      <c r="HL920" s="2"/>
      <c r="HM920" s="2"/>
      <c r="HN920" s="2"/>
      <c r="HO920" s="2"/>
      <c r="HP920" s="2"/>
      <c r="HQ920" s="2"/>
      <c r="HR920" s="2"/>
      <c r="HS920" s="2"/>
      <c r="HT920" s="2"/>
      <c r="HU920" s="2"/>
      <c r="HV920" s="2"/>
      <c r="HW920" s="2"/>
      <c r="HX920" s="2"/>
      <c r="HY920" s="2"/>
      <c r="HZ920" s="2"/>
      <c r="IA920" s="2"/>
      <c r="IB920" s="2"/>
      <c r="IC920" s="2"/>
      <c r="ID920" s="2"/>
      <c r="IE920" s="2"/>
      <c r="IF920" s="2"/>
      <c r="IG920" s="2"/>
      <c r="IH920" s="2"/>
      <c r="II920" s="2"/>
      <c r="IJ920" s="2"/>
      <c r="IK920" s="2"/>
      <c r="IL920" s="2"/>
      <c r="IM920" s="2"/>
      <c r="IN920" s="2"/>
      <c r="IO920" s="2"/>
      <c r="IP920" s="2"/>
      <c r="IQ920" s="2"/>
      <c r="IR920" s="2"/>
      <c r="IS920" s="2"/>
      <c r="IT920" s="2"/>
      <c r="IU920" s="2"/>
      <c r="IV920" s="2"/>
      <c r="IW920" s="2"/>
      <c r="IX920" s="2"/>
    </row>
    <row r="921" spans="1:258" ht="21.95" customHeight="1">
      <c r="A921" s="52" t="s">
        <v>1283</v>
      </c>
      <c r="B921" s="24" t="s">
        <v>705</v>
      </c>
      <c r="C921" s="1">
        <f t="shared" si="270"/>
        <v>1284380</v>
      </c>
      <c r="D921" s="21">
        <f t="shared" si="269"/>
        <v>0</v>
      </c>
      <c r="E921" s="21">
        <v>0</v>
      </c>
      <c r="F921" s="21">
        <v>0</v>
      </c>
      <c r="G921" s="21">
        <v>0</v>
      </c>
      <c r="H921" s="21">
        <v>0</v>
      </c>
      <c r="I921" s="21">
        <v>0</v>
      </c>
      <c r="J921" s="21">
        <v>0</v>
      </c>
      <c r="K921" s="40">
        <v>0</v>
      </c>
      <c r="L921" s="21">
        <v>0</v>
      </c>
      <c r="M921" s="3">
        <v>204.6</v>
      </c>
      <c r="N921" s="3">
        <v>1084380</v>
      </c>
      <c r="O921" s="21">
        <v>0</v>
      </c>
      <c r="P921" s="21">
        <v>0</v>
      </c>
      <c r="Q921" s="21">
        <v>0</v>
      </c>
      <c r="R921" s="21">
        <v>0</v>
      </c>
      <c r="S921" s="21">
        <v>0</v>
      </c>
      <c r="T921" s="3">
        <v>0</v>
      </c>
      <c r="U921" s="21">
        <v>200000</v>
      </c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  <c r="AK921" s="12"/>
      <c r="AL921" s="12"/>
      <c r="AM921" s="12"/>
      <c r="AN921" s="12"/>
      <c r="AO921" s="12"/>
      <c r="AP921" s="12"/>
      <c r="AQ921" s="12"/>
      <c r="AR921" s="12"/>
      <c r="AS921" s="12"/>
      <c r="AT921" s="12"/>
      <c r="AU921" s="12"/>
      <c r="AV921" s="12"/>
      <c r="AW921" s="12"/>
      <c r="AX921" s="12"/>
      <c r="AY921" s="12"/>
      <c r="AZ921" s="12"/>
      <c r="BA921" s="12"/>
      <c r="BB921" s="12"/>
      <c r="BC921" s="12"/>
      <c r="BD921" s="12"/>
      <c r="BE921" s="12"/>
      <c r="BF921" s="12"/>
      <c r="BG921" s="12"/>
      <c r="BH921" s="12"/>
      <c r="BI921" s="12"/>
      <c r="BJ921" s="12"/>
      <c r="BK921" s="12"/>
      <c r="BL921" s="12"/>
      <c r="BM921" s="12"/>
      <c r="BN921" s="12"/>
      <c r="BO921" s="12"/>
      <c r="BP921" s="12"/>
      <c r="BQ921" s="12"/>
      <c r="BR921" s="12"/>
      <c r="BS921" s="12"/>
      <c r="BT921" s="12"/>
      <c r="BU921" s="12"/>
      <c r="BV921" s="12"/>
      <c r="BW921" s="12"/>
      <c r="BX921" s="12"/>
      <c r="BY921" s="12"/>
      <c r="BZ921" s="12"/>
      <c r="CA921" s="12"/>
      <c r="CB921" s="12"/>
      <c r="CC921" s="12"/>
      <c r="CD921" s="12"/>
      <c r="CE921" s="12"/>
      <c r="CF921" s="12"/>
      <c r="CG921" s="12"/>
      <c r="CH921" s="12"/>
      <c r="CI921" s="12"/>
      <c r="CJ921" s="12"/>
      <c r="CK921" s="12"/>
      <c r="CL921" s="12"/>
      <c r="CM921" s="12"/>
      <c r="CN921" s="12"/>
      <c r="CO921" s="12"/>
      <c r="CP921" s="12"/>
      <c r="CQ921" s="12"/>
      <c r="CR921" s="12"/>
      <c r="CS921" s="12"/>
      <c r="CT921" s="12"/>
      <c r="CU921" s="12"/>
      <c r="CV921" s="12"/>
      <c r="CW921" s="12"/>
      <c r="CX921" s="12"/>
      <c r="CY921" s="12"/>
      <c r="CZ921" s="12"/>
      <c r="DA921" s="12"/>
      <c r="DB921" s="12"/>
      <c r="DC921" s="12"/>
      <c r="DD921" s="12"/>
      <c r="DE921" s="12"/>
      <c r="DF921" s="12"/>
      <c r="DG921" s="12"/>
      <c r="DH921" s="12"/>
      <c r="DI921" s="12"/>
      <c r="DJ921" s="12"/>
      <c r="DK921" s="12"/>
      <c r="DL921" s="12"/>
      <c r="DM921" s="12"/>
      <c r="DN921" s="12"/>
      <c r="DO921" s="12"/>
      <c r="DP921" s="12"/>
      <c r="DQ921" s="12"/>
      <c r="DR921" s="12"/>
      <c r="DS921" s="12"/>
      <c r="DT921" s="12"/>
      <c r="DU921" s="12"/>
      <c r="DV921" s="12"/>
      <c r="DW921" s="12"/>
      <c r="DX921" s="12"/>
      <c r="DY921" s="12"/>
      <c r="DZ921" s="12"/>
      <c r="EA921" s="12"/>
      <c r="EB921" s="12"/>
      <c r="EC921" s="12"/>
      <c r="ED921" s="12"/>
      <c r="EE921" s="12"/>
      <c r="EF921" s="12"/>
      <c r="EG921" s="12"/>
      <c r="EH921" s="12"/>
      <c r="EI921" s="12"/>
      <c r="EJ921" s="12"/>
      <c r="EK921" s="12"/>
      <c r="EL921" s="12"/>
      <c r="EM921" s="12"/>
      <c r="EN921" s="12"/>
      <c r="EO921" s="12"/>
      <c r="EP921" s="12"/>
      <c r="EQ921" s="12"/>
      <c r="ER921" s="12"/>
      <c r="ES921" s="12"/>
      <c r="ET921" s="12"/>
      <c r="EU921" s="12"/>
      <c r="EV921" s="12"/>
      <c r="EW921" s="12"/>
      <c r="EX921" s="12"/>
      <c r="EY921" s="12"/>
      <c r="EZ921" s="12"/>
      <c r="FA921" s="12"/>
      <c r="FB921" s="12"/>
      <c r="FC921" s="12"/>
      <c r="FD921" s="12"/>
      <c r="FE921" s="12"/>
      <c r="FF921" s="12"/>
      <c r="FG921" s="12"/>
      <c r="FH921" s="12"/>
      <c r="FI921" s="12"/>
      <c r="FJ921" s="12"/>
      <c r="FK921" s="12"/>
      <c r="FL921" s="12"/>
      <c r="FM921" s="12"/>
      <c r="FN921" s="12"/>
      <c r="FO921" s="12"/>
      <c r="FP921" s="12"/>
      <c r="FQ921" s="12"/>
      <c r="FR921" s="12"/>
      <c r="FS921" s="12"/>
      <c r="FT921" s="12"/>
      <c r="FU921" s="12"/>
      <c r="FV921" s="12"/>
      <c r="FW921" s="12"/>
      <c r="FX921" s="12"/>
      <c r="FY921" s="12"/>
      <c r="FZ921" s="12"/>
      <c r="GA921" s="12"/>
      <c r="GB921" s="12"/>
      <c r="GC921" s="12"/>
      <c r="GD921" s="12"/>
      <c r="GE921" s="12"/>
      <c r="GF921" s="12"/>
      <c r="GG921" s="12"/>
      <c r="GH921" s="12"/>
      <c r="GI921" s="12"/>
      <c r="GJ921" s="12"/>
      <c r="GK921" s="12"/>
      <c r="GL921" s="12"/>
      <c r="GM921" s="12"/>
      <c r="GN921" s="12"/>
      <c r="GO921" s="12"/>
      <c r="GP921" s="12"/>
      <c r="GQ921" s="12"/>
      <c r="GR921" s="12"/>
      <c r="GS921" s="12"/>
      <c r="GT921" s="12"/>
      <c r="GU921" s="12"/>
      <c r="GV921" s="12"/>
      <c r="GW921" s="12"/>
      <c r="GX921" s="12"/>
      <c r="GY921" s="12"/>
      <c r="GZ921" s="12"/>
      <c r="HA921" s="12"/>
      <c r="HB921" s="12"/>
      <c r="HC921" s="12"/>
      <c r="HD921" s="12"/>
      <c r="HE921" s="12"/>
      <c r="HF921" s="12"/>
      <c r="HG921" s="12"/>
      <c r="HH921" s="12"/>
      <c r="HI921" s="12"/>
      <c r="HJ921" s="12"/>
      <c r="HK921" s="12"/>
      <c r="HL921" s="12"/>
      <c r="HM921" s="12"/>
      <c r="HN921" s="12"/>
      <c r="HO921" s="12"/>
      <c r="HP921" s="12"/>
      <c r="HQ921" s="12"/>
      <c r="HR921" s="12"/>
      <c r="HS921" s="12"/>
      <c r="HT921" s="12"/>
      <c r="HU921" s="12"/>
      <c r="HV921" s="12"/>
      <c r="HW921" s="12"/>
      <c r="HX921" s="12"/>
      <c r="HY921" s="12"/>
      <c r="HZ921" s="12"/>
      <c r="IA921" s="12"/>
      <c r="IB921" s="12"/>
      <c r="IC921" s="12"/>
      <c r="ID921" s="12"/>
      <c r="IE921" s="12"/>
      <c r="IF921" s="12"/>
      <c r="IG921" s="12"/>
      <c r="IH921" s="12"/>
      <c r="II921" s="12"/>
      <c r="IJ921" s="12"/>
      <c r="IK921" s="12"/>
      <c r="IL921" s="12"/>
      <c r="IM921" s="12"/>
      <c r="IN921" s="12"/>
      <c r="IO921" s="12"/>
      <c r="IP921" s="12"/>
      <c r="IQ921" s="12"/>
      <c r="IR921" s="12"/>
      <c r="IS921" s="12"/>
      <c r="IT921" s="12"/>
      <c r="IU921" s="12"/>
      <c r="IV921" s="12"/>
      <c r="IW921" s="12"/>
      <c r="IX921" s="12"/>
    </row>
    <row r="922" spans="1:258" ht="21.95" customHeight="1">
      <c r="A922" s="52" t="s">
        <v>1284</v>
      </c>
      <c r="B922" s="24" t="s">
        <v>802</v>
      </c>
      <c r="C922" s="1">
        <f t="shared" si="270"/>
        <v>1349888</v>
      </c>
      <c r="D922" s="21">
        <f t="shared" si="269"/>
        <v>0</v>
      </c>
      <c r="E922" s="21">
        <v>0</v>
      </c>
      <c r="F922" s="21">
        <v>0</v>
      </c>
      <c r="G922" s="21">
        <v>0</v>
      </c>
      <c r="H922" s="21">
        <v>0</v>
      </c>
      <c r="I922" s="21">
        <v>0</v>
      </c>
      <c r="J922" s="21">
        <v>0</v>
      </c>
      <c r="K922" s="40">
        <v>0</v>
      </c>
      <c r="L922" s="21">
        <v>0</v>
      </c>
      <c r="M922" s="3">
        <v>216.96</v>
      </c>
      <c r="N922" s="3">
        <v>1149888</v>
      </c>
      <c r="O922" s="21">
        <v>0</v>
      </c>
      <c r="P922" s="21">
        <v>0</v>
      </c>
      <c r="Q922" s="21">
        <v>0</v>
      </c>
      <c r="R922" s="21">
        <v>0</v>
      </c>
      <c r="S922" s="21">
        <v>0</v>
      </c>
      <c r="T922" s="3">
        <v>0</v>
      </c>
      <c r="U922" s="21">
        <v>200000</v>
      </c>
      <c r="V922" s="14"/>
      <c r="W922" s="14"/>
      <c r="X922" s="14"/>
      <c r="Y922" s="14"/>
      <c r="Z922" s="14"/>
      <c r="AA922" s="14"/>
      <c r="AB922" s="14"/>
      <c r="AC922" s="14"/>
      <c r="AD922" s="14"/>
      <c r="AE922" s="14"/>
      <c r="AF922" s="14"/>
      <c r="AG922" s="14"/>
      <c r="AH922" s="14"/>
      <c r="AI922" s="14"/>
      <c r="AJ922" s="14"/>
      <c r="AK922" s="14"/>
      <c r="AL922" s="14"/>
      <c r="AM922" s="14"/>
      <c r="AN922" s="14"/>
      <c r="AO922" s="14"/>
      <c r="AP922" s="14"/>
      <c r="AQ922" s="14"/>
      <c r="AR922" s="14"/>
      <c r="AS922" s="14"/>
      <c r="AT922" s="14"/>
      <c r="AU922" s="14"/>
      <c r="AV922" s="14"/>
      <c r="AW922" s="14"/>
      <c r="AX922" s="14"/>
      <c r="AY922" s="14"/>
      <c r="AZ922" s="14"/>
      <c r="BA922" s="14"/>
      <c r="BB922" s="14"/>
      <c r="BC922" s="14"/>
      <c r="BD922" s="14"/>
      <c r="BE922" s="14"/>
      <c r="BF922" s="14"/>
      <c r="BG922" s="14"/>
      <c r="BH922" s="14"/>
      <c r="BI922" s="14"/>
      <c r="BJ922" s="14"/>
      <c r="BK922" s="14"/>
      <c r="BL922" s="14"/>
      <c r="BM922" s="14"/>
      <c r="BN922" s="14"/>
      <c r="BO922" s="14"/>
      <c r="BP922" s="14"/>
      <c r="BQ922" s="14"/>
      <c r="BR922" s="14"/>
      <c r="BS922" s="14"/>
      <c r="BT922" s="14"/>
      <c r="BU922" s="14"/>
      <c r="BV922" s="14"/>
      <c r="BW922" s="14"/>
      <c r="BX922" s="14"/>
      <c r="BY922" s="14"/>
      <c r="BZ922" s="14"/>
      <c r="CA922" s="14"/>
      <c r="CB922" s="14"/>
      <c r="CC922" s="14"/>
      <c r="CD922" s="14"/>
      <c r="CE922" s="14"/>
      <c r="CF922" s="14"/>
      <c r="CG922" s="14"/>
      <c r="CH922" s="14"/>
      <c r="CI922" s="14"/>
      <c r="CJ922" s="14"/>
      <c r="CK922" s="14"/>
      <c r="CL922" s="14"/>
      <c r="CM922" s="14"/>
      <c r="CN922" s="14"/>
      <c r="CO922" s="14"/>
      <c r="CP922" s="14"/>
      <c r="CQ922" s="14"/>
      <c r="CR922" s="14"/>
      <c r="CS922" s="14"/>
      <c r="CT922" s="14"/>
      <c r="CU922" s="14"/>
      <c r="CV922" s="14"/>
      <c r="CW922" s="14"/>
      <c r="CX922" s="14"/>
      <c r="CY922" s="14"/>
      <c r="CZ922" s="14"/>
      <c r="DA922" s="14"/>
      <c r="DB922" s="14"/>
      <c r="DC922" s="14"/>
      <c r="DD922" s="14"/>
      <c r="DE922" s="14"/>
      <c r="DF922" s="14"/>
      <c r="DG922" s="14"/>
      <c r="DH922" s="14"/>
      <c r="DI922" s="14"/>
      <c r="DJ922" s="14"/>
      <c r="DK922" s="14"/>
      <c r="DL922" s="14"/>
      <c r="DM922" s="14"/>
      <c r="DN922" s="14"/>
      <c r="DO922" s="14"/>
      <c r="DP922" s="14"/>
      <c r="DQ922" s="14"/>
      <c r="DR922" s="14"/>
      <c r="DS922" s="14"/>
      <c r="DT922" s="14"/>
      <c r="DU922" s="14"/>
      <c r="DV922" s="14"/>
      <c r="DW922" s="14"/>
      <c r="DX922" s="14"/>
      <c r="DY922" s="14"/>
      <c r="DZ922" s="14"/>
      <c r="EA922" s="14"/>
      <c r="EB922" s="14"/>
      <c r="EC922" s="14"/>
      <c r="ED922" s="14"/>
      <c r="EE922" s="14"/>
      <c r="EF922" s="14"/>
      <c r="EG922" s="14"/>
      <c r="EH922" s="14"/>
      <c r="EI922" s="14"/>
      <c r="EJ922" s="14"/>
      <c r="EK922" s="14"/>
      <c r="EL922" s="14"/>
      <c r="EM922" s="14"/>
      <c r="EN922" s="14"/>
      <c r="EO922" s="14"/>
      <c r="EP922" s="14"/>
      <c r="EQ922" s="14"/>
      <c r="ER922" s="14"/>
      <c r="ES922" s="14"/>
      <c r="ET922" s="14"/>
      <c r="EU922" s="14"/>
      <c r="EV922" s="14"/>
      <c r="EW922" s="14"/>
      <c r="EX922" s="14"/>
      <c r="EY922" s="14"/>
      <c r="EZ922" s="14"/>
      <c r="FA922" s="14"/>
      <c r="FB922" s="14"/>
      <c r="FC922" s="14"/>
      <c r="FD922" s="14"/>
      <c r="FE922" s="14"/>
      <c r="FF922" s="14"/>
      <c r="FG922" s="14"/>
      <c r="FH922" s="14"/>
      <c r="FI922" s="14"/>
      <c r="FJ922" s="14"/>
      <c r="FK922" s="14"/>
      <c r="FL922" s="14"/>
      <c r="FM922" s="14"/>
      <c r="FN922" s="14"/>
      <c r="FO922" s="14"/>
      <c r="FP922" s="14"/>
      <c r="FQ922" s="14"/>
      <c r="FR922" s="14"/>
      <c r="FS922" s="14"/>
      <c r="FT922" s="14"/>
      <c r="FU922" s="14"/>
      <c r="FV922" s="14"/>
      <c r="FW922" s="14"/>
      <c r="FX922" s="14"/>
      <c r="FY922" s="14"/>
      <c r="FZ922" s="14"/>
      <c r="GA922" s="14"/>
      <c r="GB922" s="14"/>
      <c r="GC922" s="14"/>
      <c r="GD922" s="14"/>
      <c r="GE922" s="14"/>
      <c r="GF922" s="14"/>
      <c r="GG922" s="14"/>
      <c r="GH922" s="14"/>
      <c r="GI922" s="14"/>
      <c r="GJ922" s="14"/>
      <c r="GK922" s="14"/>
      <c r="GL922" s="14"/>
      <c r="GM922" s="14"/>
      <c r="GN922" s="14"/>
      <c r="GO922" s="14"/>
      <c r="GP922" s="14"/>
      <c r="GQ922" s="14"/>
      <c r="GR922" s="14"/>
      <c r="GS922" s="14"/>
      <c r="GT922" s="14"/>
      <c r="GU922" s="14"/>
      <c r="GV922" s="14"/>
      <c r="GW922" s="14"/>
      <c r="GX922" s="14"/>
      <c r="GY922" s="14"/>
      <c r="GZ922" s="14"/>
      <c r="HA922" s="14"/>
      <c r="HB922" s="14"/>
      <c r="HC922" s="14"/>
      <c r="HD922" s="14"/>
      <c r="HE922" s="14"/>
      <c r="HF922" s="14"/>
      <c r="HG922" s="14"/>
      <c r="HH922" s="14"/>
      <c r="HI922" s="14"/>
      <c r="HJ922" s="14"/>
      <c r="HK922" s="14"/>
      <c r="HL922" s="14"/>
      <c r="HM922" s="14"/>
      <c r="HN922" s="14"/>
      <c r="HO922" s="14"/>
      <c r="HP922" s="14"/>
      <c r="HQ922" s="14"/>
      <c r="HR922" s="14"/>
      <c r="HS922" s="14"/>
      <c r="HT922" s="14"/>
      <c r="HU922" s="14"/>
      <c r="HV922" s="14"/>
      <c r="HW922" s="14"/>
      <c r="HX922" s="14"/>
      <c r="HY922" s="14"/>
      <c r="HZ922" s="14"/>
      <c r="IA922" s="14"/>
      <c r="IB922" s="14"/>
      <c r="IC922" s="14"/>
      <c r="ID922" s="14"/>
      <c r="IE922" s="14"/>
      <c r="IF922" s="14"/>
      <c r="IG922" s="14"/>
      <c r="IH922" s="14"/>
      <c r="II922" s="14"/>
      <c r="IJ922" s="14"/>
      <c r="IK922" s="14"/>
      <c r="IL922" s="14"/>
      <c r="IM922" s="14"/>
      <c r="IN922" s="14"/>
      <c r="IO922" s="14"/>
      <c r="IP922" s="14"/>
      <c r="IQ922" s="14"/>
      <c r="IR922" s="14"/>
      <c r="IS922" s="14"/>
      <c r="IT922" s="14"/>
      <c r="IU922" s="14"/>
      <c r="IV922" s="14"/>
      <c r="IW922" s="14"/>
      <c r="IX922" s="14"/>
    </row>
    <row r="923" spans="1:258" ht="21.95" customHeight="1">
      <c r="A923" s="52" t="s">
        <v>1285</v>
      </c>
      <c r="B923" s="24" t="s">
        <v>706</v>
      </c>
      <c r="C923" s="1">
        <f t="shared" si="270"/>
        <v>5740715</v>
      </c>
      <c r="D923" s="21">
        <f t="shared" si="269"/>
        <v>1337952</v>
      </c>
      <c r="E923" s="21">
        <f>350*557.48</f>
        <v>195118</v>
      </c>
      <c r="F923" s="21">
        <f>800*557.48</f>
        <v>445984</v>
      </c>
      <c r="G923" s="21">
        <f>350*557.48</f>
        <v>195118</v>
      </c>
      <c r="H923" s="21">
        <f>500*557.48</f>
        <v>278740</v>
      </c>
      <c r="I923" s="21">
        <f>400*557.48</f>
        <v>222992</v>
      </c>
      <c r="J923" s="21">
        <v>0</v>
      </c>
      <c r="K923" s="40">
        <v>0</v>
      </c>
      <c r="L923" s="21">
        <v>0</v>
      </c>
      <c r="M923" s="21">
        <v>519.4</v>
      </c>
      <c r="N923" s="23">
        <v>2752820</v>
      </c>
      <c r="O923" s="21">
        <v>0</v>
      </c>
      <c r="P923" s="21">
        <v>0</v>
      </c>
      <c r="Q923" s="21">
        <v>556.6</v>
      </c>
      <c r="R923" s="21">
        <f>Q923*2605</f>
        <v>1449943</v>
      </c>
      <c r="S923" s="21">
        <v>0</v>
      </c>
      <c r="T923" s="3">
        <v>0</v>
      </c>
      <c r="U923" s="21">
        <v>200000</v>
      </c>
    </row>
    <row r="924" spans="1:258" ht="21.95" customHeight="1">
      <c r="A924" s="52" t="s">
        <v>1286</v>
      </c>
      <c r="B924" s="24" t="s">
        <v>707</v>
      </c>
      <c r="C924" s="1">
        <f t="shared" si="270"/>
        <v>1513817</v>
      </c>
      <c r="D924" s="21">
        <f t="shared" si="269"/>
        <v>0</v>
      </c>
      <c r="E924" s="21">
        <v>0</v>
      </c>
      <c r="F924" s="21">
        <v>0</v>
      </c>
      <c r="G924" s="21">
        <v>0</v>
      </c>
      <c r="H924" s="21">
        <v>0</v>
      </c>
      <c r="I924" s="21">
        <v>0</v>
      </c>
      <c r="J924" s="21">
        <v>0</v>
      </c>
      <c r="K924" s="40">
        <v>0</v>
      </c>
      <c r="L924" s="21">
        <v>0</v>
      </c>
      <c r="M924" s="3">
        <v>247.89</v>
      </c>
      <c r="N924" s="3">
        <v>1313817</v>
      </c>
      <c r="O924" s="21">
        <v>0</v>
      </c>
      <c r="P924" s="21">
        <v>0</v>
      </c>
      <c r="Q924" s="21">
        <v>0</v>
      </c>
      <c r="R924" s="21">
        <v>0</v>
      </c>
      <c r="S924" s="21">
        <v>0</v>
      </c>
      <c r="T924" s="3">
        <v>0</v>
      </c>
      <c r="U924" s="21">
        <v>200000</v>
      </c>
    </row>
    <row r="925" spans="1:258" ht="21.95" customHeight="1">
      <c r="A925" s="52" t="s">
        <v>1287</v>
      </c>
      <c r="B925" s="30" t="s">
        <v>708</v>
      </c>
      <c r="C925" s="1">
        <f t="shared" si="270"/>
        <v>2161000</v>
      </c>
      <c r="D925" s="21">
        <f t="shared" si="269"/>
        <v>0</v>
      </c>
      <c r="E925" s="21">
        <v>0</v>
      </c>
      <c r="F925" s="21">
        <v>0</v>
      </c>
      <c r="G925" s="21">
        <v>0</v>
      </c>
      <c r="H925" s="21">
        <v>0</v>
      </c>
      <c r="I925" s="21">
        <v>0</v>
      </c>
      <c r="J925" s="21">
        <v>0</v>
      </c>
      <c r="K925" s="40">
        <v>0</v>
      </c>
      <c r="L925" s="21">
        <v>0</v>
      </c>
      <c r="M925" s="21">
        <v>370</v>
      </c>
      <c r="N925" s="23">
        <v>1961000</v>
      </c>
      <c r="O925" s="21">
        <v>0</v>
      </c>
      <c r="P925" s="21">
        <v>0</v>
      </c>
      <c r="Q925" s="21">
        <v>0</v>
      </c>
      <c r="R925" s="21">
        <v>0</v>
      </c>
      <c r="S925" s="21">
        <v>0</v>
      </c>
      <c r="T925" s="3">
        <v>0</v>
      </c>
      <c r="U925" s="21">
        <v>200000</v>
      </c>
    </row>
    <row r="926" spans="1:258" ht="21.95" customHeight="1">
      <c r="A926" s="52" t="s">
        <v>1288</v>
      </c>
      <c r="B926" s="24" t="s">
        <v>709</v>
      </c>
      <c r="C926" s="1">
        <f t="shared" si="270"/>
        <v>3158990</v>
      </c>
      <c r="D926" s="21">
        <f t="shared" si="269"/>
        <v>0</v>
      </c>
      <c r="E926" s="21">
        <v>0</v>
      </c>
      <c r="F926" s="21">
        <v>0</v>
      </c>
      <c r="G926" s="21">
        <v>0</v>
      </c>
      <c r="H926" s="21">
        <v>0</v>
      </c>
      <c r="I926" s="21">
        <v>0</v>
      </c>
      <c r="J926" s="21">
        <v>0</v>
      </c>
      <c r="K926" s="40">
        <v>0</v>
      </c>
      <c r="L926" s="21">
        <v>0</v>
      </c>
      <c r="M926" s="3">
        <v>558.29999999999995</v>
      </c>
      <c r="N926" s="3">
        <v>2958990</v>
      </c>
      <c r="O926" s="21">
        <v>0</v>
      </c>
      <c r="P926" s="21">
        <v>0</v>
      </c>
      <c r="Q926" s="21">
        <v>0</v>
      </c>
      <c r="R926" s="21">
        <v>0</v>
      </c>
      <c r="S926" s="21">
        <v>0</v>
      </c>
      <c r="T926" s="3">
        <v>0</v>
      </c>
      <c r="U926" s="21">
        <v>200000</v>
      </c>
      <c r="V926" s="13"/>
    </row>
    <row r="927" spans="1:258" ht="21.95" customHeight="1">
      <c r="A927" s="52" t="s">
        <v>1289</v>
      </c>
      <c r="B927" s="24" t="s">
        <v>710</v>
      </c>
      <c r="C927" s="1">
        <f t="shared" si="270"/>
        <v>1594960</v>
      </c>
      <c r="D927" s="21">
        <f t="shared" si="269"/>
        <v>0</v>
      </c>
      <c r="E927" s="21">
        <v>0</v>
      </c>
      <c r="F927" s="21">
        <v>0</v>
      </c>
      <c r="G927" s="21">
        <v>0</v>
      </c>
      <c r="H927" s="21">
        <v>0</v>
      </c>
      <c r="I927" s="21">
        <v>0</v>
      </c>
      <c r="J927" s="21">
        <v>0</v>
      </c>
      <c r="K927" s="5">
        <v>0</v>
      </c>
      <c r="L927" s="21">
        <v>0</v>
      </c>
      <c r="M927" s="21">
        <v>263.2</v>
      </c>
      <c r="N927" s="23">
        <v>1394960</v>
      </c>
      <c r="O927" s="21">
        <v>0</v>
      </c>
      <c r="P927" s="21">
        <v>0</v>
      </c>
      <c r="Q927" s="21">
        <v>0</v>
      </c>
      <c r="R927" s="21">
        <v>0</v>
      </c>
      <c r="S927" s="21">
        <v>0</v>
      </c>
      <c r="T927" s="3">
        <v>0</v>
      </c>
      <c r="U927" s="21">
        <v>200000</v>
      </c>
    </row>
    <row r="928" spans="1:258" s="9" customFormat="1" ht="21.95" customHeight="1">
      <c r="A928" s="52" t="s">
        <v>1290</v>
      </c>
      <c r="B928" s="24" t="s">
        <v>711</v>
      </c>
      <c r="C928" s="1">
        <f t="shared" si="270"/>
        <v>2086800</v>
      </c>
      <c r="D928" s="21">
        <f t="shared" si="269"/>
        <v>0</v>
      </c>
      <c r="E928" s="21">
        <v>0</v>
      </c>
      <c r="F928" s="21">
        <v>0</v>
      </c>
      <c r="G928" s="21">
        <v>0</v>
      </c>
      <c r="H928" s="21">
        <v>0</v>
      </c>
      <c r="I928" s="21">
        <v>0</v>
      </c>
      <c r="J928" s="21">
        <v>0</v>
      </c>
      <c r="K928" s="5">
        <v>0</v>
      </c>
      <c r="L928" s="21">
        <v>0</v>
      </c>
      <c r="M928" s="21">
        <v>356</v>
      </c>
      <c r="N928" s="23">
        <v>1886800</v>
      </c>
      <c r="O928" s="21">
        <v>0</v>
      </c>
      <c r="P928" s="21">
        <v>0</v>
      </c>
      <c r="Q928" s="21">
        <v>0</v>
      </c>
      <c r="R928" s="21">
        <v>0</v>
      </c>
      <c r="S928" s="21">
        <v>0</v>
      </c>
      <c r="T928" s="3">
        <v>0</v>
      </c>
      <c r="U928" s="21">
        <v>200000</v>
      </c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  <c r="FE928" s="2"/>
      <c r="FF928" s="2"/>
      <c r="FG928" s="2"/>
      <c r="FH928" s="2"/>
      <c r="FI928" s="2"/>
      <c r="FJ928" s="2"/>
      <c r="FK928" s="2"/>
      <c r="FL928" s="2"/>
      <c r="FM928" s="2"/>
      <c r="FN928" s="2"/>
      <c r="FO928" s="2"/>
      <c r="FP928" s="2"/>
      <c r="FQ928" s="2"/>
      <c r="FR928" s="2"/>
      <c r="FS928" s="2"/>
      <c r="FT928" s="2"/>
      <c r="FU928" s="2"/>
      <c r="FV928" s="2"/>
      <c r="FW928" s="2"/>
      <c r="FX928" s="2"/>
      <c r="FY928" s="2"/>
      <c r="FZ928" s="2"/>
      <c r="GA928" s="2"/>
      <c r="GB928" s="2"/>
      <c r="GC928" s="2"/>
      <c r="GD928" s="2"/>
      <c r="GE928" s="2"/>
      <c r="GF928" s="2"/>
      <c r="GG928" s="2"/>
      <c r="GH928" s="2"/>
      <c r="GI928" s="2"/>
      <c r="GJ928" s="2"/>
      <c r="GK928" s="2"/>
      <c r="GL928" s="2"/>
      <c r="GM928" s="2"/>
      <c r="GN928" s="2"/>
      <c r="GO928" s="2"/>
      <c r="GP928" s="2"/>
      <c r="GQ928" s="2"/>
      <c r="GR928" s="2"/>
      <c r="GS928" s="2"/>
      <c r="GT928" s="2"/>
      <c r="GU928" s="2"/>
      <c r="GV928" s="2"/>
      <c r="GW928" s="2"/>
      <c r="GX928" s="2"/>
      <c r="GY928" s="2"/>
      <c r="GZ928" s="2"/>
      <c r="HA928" s="2"/>
      <c r="HB928" s="2"/>
      <c r="HC928" s="2"/>
      <c r="HD928" s="2"/>
      <c r="HE928" s="2"/>
      <c r="HF928" s="2"/>
      <c r="HG928" s="2"/>
      <c r="HH928" s="2"/>
      <c r="HI928" s="2"/>
      <c r="HJ928" s="2"/>
      <c r="HK928" s="2"/>
      <c r="HL928" s="2"/>
      <c r="HM928" s="2"/>
      <c r="HN928" s="2"/>
      <c r="HO928" s="2"/>
      <c r="HP928" s="2"/>
      <c r="HQ928" s="2"/>
      <c r="HR928" s="2"/>
      <c r="HS928" s="2"/>
      <c r="HT928" s="2"/>
      <c r="HU928" s="2"/>
      <c r="HV928" s="2"/>
      <c r="HW928" s="2"/>
      <c r="HX928" s="2"/>
      <c r="HY928" s="2"/>
      <c r="HZ928" s="2"/>
      <c r="IA928" s="2"/>
      <c r="IB928" s="2"/>
      <c r="IC928" s="2"/>
      <c r="ID928" s="2"/>
      <c r="IE928" s="2"/>
      <c r="IF928" s="2"/>
      <c r="IG928" s="2"/>
      <c r="IH928" s="2"/>
      <c r="II928" s="2"/>
      <c r="IJ928" s="2"/>
      <c r="IK928" s="2"/>
      <c r="IL928" s="2"/>
      <c r="IM928" s="2"/>
      <c r="IN928" s="2"/>
      <c r="IO928" s="2"/>
      <c r="IP928" s="2"/>
      <c r="IQ928" s="2"/>
      <c r="IR928" s="2"/>
      <c r="IS928" s="2"/>
      <c r="IT928" s="2"/>
      <c r="IU928" s="2"/>
      <c r="IV928" s="2"/>
      <c r="IW928" s="2"/>
      <c r="IX928" s="2"/>
    </row>
    <row r="929" spans="1:258" ht="21.95" customHeight="1">
      <c r="A929" s="52" t="s">
        <v>1291</v>
      </c>
      <c r="B929" s="24" t="s">
        <v>803</v>
      </c>
      <c r="C929" s="1">
        <f t="shared" si="270"/>
        <v>1970200</v>
      </c>
      <c r="D929" s="21">
        <f t="shared" si="269"/>
        <v>0</v>
      </c>
      <c r="E929" s="21">
        <v>0</v>
      </c>
      <c r="F929" s="21">
        <v>0</v>
      </c>
      <c r="G929" s="21">
        <v>0</v>
      </c>
      <c r="H929" s="21">
        <v>0</v>
      </c>
      <c r="I929" s="21">
        <v>0</v>
      </c>
      <c r="J929" s="21">
        <v>0</v>
      </c>
      <c r="K929" s="5">
        <v>0</v>
      </c>
      <c r="L929" s="21">
        <v>0</v>
      </c>
      <c r="M929" s="21">
        <v>334</v>
      </c>
      <c r="N929" s="21">
        <v>1770200</v>
      </c>
      <c r="O929" s="21">
        <v>0</v>
      </c>
      <c r="P929" s="21">
        <v>0</v>
      </c>
      <c r="Q929" s="21">
        <v>0</v>
      </c>
      <c r="R929" s="21">
        <v>0</v>
      </c>
      <c r="S929" s="21">
        <v>0</v>
      </c>
      <c r="T929" s="3">
        <v>0</v>
      </c>
      <c r="U929" s="21">
        <v>200000</v>
      </c>
    </row>
    <row r="930" spans="1:258" s="14" customFormat="1" ht="21.95" customHeight="1">
      <c r="A930" s="52" t="s">
        <v>1292</v>
      </c>
      <c r="B930" s="30" t="s">
        <v>804</v>
      </c>
      <c r="C930" s="1">
        <f t="shared" si="270"/>
        <v>3932300</v>
      </c>
      <c r="D930" s="21">
        <f t="shared" si="269"/>
        <v>0</v>
      </c>
      <c r="E930" s="21">
        <v>0</v>
      </c>
      <c r="F930" s="21">
        <v>0</v>
      </c>
      <c r="G930" s="21">
        <v>0</v>
      </c>
      <c r="H930" s="21">
        <v>0</v>
      </c>
      <c r="I930" s="21">
        <v>0</v>
      </c>
      <c r="J930" s="21">
        <v>0</v>
      </c>
      <c r="K930" s="5">
        <v>0</v>
      </c>
      <c r="L930" s="21">
        <v>0</v>
      </c>
      <c r="M930" s="21">
        <v>1131</v>
      </c>
      <c r="N930" s="3">
        <v>3732300</v>
      </c>
      <c r="O930" s="21">
        <v>0</v>
      </c>
      <c r="P930" s="21">
        <v>0</v>
      </c>
      <c r="Q930" s="21">
        <v>0</v>
      </c>
      <c r="R930" s="21">
        <v>0</v>
      </c>
      <c r="S930" s="21">
        <v>0</v>
      </c>
      <c r="T930" s="3">
        <v>0</v>
      </c>
      <c r="U930" s="21">
        <v>200000</v>
      </c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  <c r="FE930" s="2"/>
      <c r="FF930" s="2"/>
      <c r="FG930" s="2"/>
      <c r="FH930" s="2"/>
      <c r="FI930" s="2"/>
      <c r="FJ930" s="2"/>
      <c r="FK930" s="2"/>
      <c r="FL930" s="2"/>
      <c r="FM930" s="2"/>
      <c r="FN930" s="2"/>
      <c r="FO930" s="2"/>
      <c r="FP930" s="2"/>
      <c r="FQ930" s="2"/>
      <c r="FR930" s="2"/>
      <c r="FS930" s="2"/>
      <c r="FT930" s="2"/>
      <c r="FU930" s="2"/>
      <c r="FV930" s="2"/>
      <c r="FW930" s="2"/>
      <c r="FX930" s="2"/>
      <c r="FY930" s="2"/>
      <c r="FZ930" s="2"/>
      <c r="GA930" s="2"/>
      <c r="GB930" s="2"/>
      <c r="GC930" s="2"/>
      <c r="GD930" s="2"/>
      <c r="GE930" s="2"/>
      <c r="GF930" s="2"/>
      <c r="GG930" s="2"/>
      <c r="GH930" s="2"/>
      <c r="GI930" s="2"/>
      <c r="GJ930" s="2"/>
      <c r="GK930" s="2"/>
      <c r="GL930" s="2"/>
      <c r="GM930" s="2"/>
      <c r="GN930" s="2"/>
      <c r="GO930" s="2"/>
      <c r="GP930" s="2"/>
      <c r="GQ930" s="2"/>
      <c r="GR930" s="2"/>
      <c r="GS930" s="2"/>
      <c r="GT930" s="2"/>
      <c r="GU930" s="2"/>
      <c r="GV930" s="2"/>
      <c r="GW930" s="2"/>
      <c r="GX930" s="2"/>
      <c r="GY930" s="2"/>
      <c r="GZ930" s="2"/>
      <c r="HA930" s="2"/>
      <c r="HB930" s="2"/>
      <c r="HC930" s="2"/>
      <c r="HD930" s="2"/>
      <c r="HE930" s="2"/>
      <c r="HF930" s="2"/>
      <c r="HG930" s="2"/>
      <c r="HH930" s="2"/>
      <c r="HI930" s="2"/>
      <c r="HJ930" s="2"/>
      <c r="HK930" s="2"/>
      <c r="HL930" s="2"/>
      <c r="HM930" s="2"/>
      <c r="HN930" s="2"/>
      <c r="HO930" s="2"/>
      <c r="HP930" s="2"/>
      <c r="HQ930" s="2"/>
      <c r="HR930" s="2"/>
      <c r="HS930" s="2"/>
      <c r="HT930" s="2"/>
      <c r="HU930" s="2"/>
      <c r="HV930" s="2"/>
      <c r="HW930" s="2"/>
      <c r="HX930" s="2"/>
      <c r="HY930" s="2"/>
      <c r="HZ930" s="2"/>
      <c r="IA930" s="2"/>
      <c r="IB930" s="2"/>
      <c r="IC930" s="2"/>
      <c r="ID930" s="2"/>
      <c r="IE930" s="2"/>
      <c r="IF930" s="2"/>
      <c r="IG930" s="2"/>
      <c r="IH930" s="2"/>
      <c r="II930" s="2"/>
      <c r="IJ930" s="2"/>
      <c r="IK930" s="2"/>
      <c r="IL930" s="2"/>
      <c r="IM930" s="2"/>
      <c r="IN930" s="2"/>
      <c r="IO930" s="2"/>
      <c r="IP930" s="2"/>
      <c r="IQ930" s="2"/>
      <c r="IR930" s="2"/>
      <c r="IS930" s="2"/>
      <c r="IT930" s="2"/>
      <c r="IU930" s="2"/>
      <c r="IV930" s="2"/>
      <c r="IW930" s="2"/>
      <c r="IX930" s="2"/>
    </row>
    <row r="931" spans="1:258" s="14" customFormat="1" ht="21.95" customHeight="1">
      <c r="A931" s="52" t="s">
        <v>1293</v>
      </c>
      <c r="B931" s="30" t="s">
        <v>851</v>
      </c>
      <c r="C931" s="1">
        <f t="shared" si="270"/>
        <v>25399032.25</v>
      </c>
      <c r="D931" s="21">
        <f t="shared" si="269"/>
        <v>10911432</v>
      </c>
      <c r="E931" s="21">
        <f>350*4546.43</f>
        <v>1591250.5</v>
      </c>
      <c r="F931" s="21">
        <f>800*4546.43</f>
        <v>3637144</v>
      </c>
      <c r="G931" s="21">
        <f>350*4546.43</f>
        <v>1591250.5</v>
      </c>
      <c r="H931" s="21">
        <f>500*4546.43</f>
        <v>2273215</v>
      </c>
      <c r="I931" s="21">
        <f>400*4546.43</f>
        <v>1818572</v>
      </c>
      <c r="J931" s="21">
        <v>0</v>
      </c>
      <c r="K931" s="40">
        <v>0</v>
      </c>
      <c r="L931" s="21">
        <v>0</v>
      </c>
      <c r="M931" s="3">
        <v>1234</v>
      </c>
      <c r="N931" s="3">
        <v>6540200</v>
      </c>
      <c r="O931" s="21">
        <v>0</v>
      </c>
      <c r="P931" s="21">
        <v>0</v>
      </c>
      <c r="Q931" s="21">
        <v>2974.05</v>
      </c>
      <c r="R931" s="21">
        <v>7747400.25</v>
      </c>
      <c r="S931" s="21">
        <v>0</v>
      </c>
      <c r="T931" s="3">
        <v>0</v>
      </c>
      <c r="U931" s="21">
        <v>200000</v>
      </c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  <c r="FE931" s="2"/>
      <c r="FF931" s="2"/>
      <c r="FG931" s="2"/>
      <c r="FH931" s="2"/>
      <c r="FI931" s="2"/>
      <c r="FJ931" s="2"/>
      <c r="FK931" s="2"/>
      <c r="FL931" s="2"/>
      <c r="FM931" s="2"/>
      <c r="FN931" s="2"/>
      <c r="FO931" s="2"/>
      <c r="FP931" s="2"/>
      <c r="FQ931" s="2"/>
      <c r="FR931" s="2"/>
      <c r="FS931" s="2"/>
      <c r="FT931" s="2"/>
      <c r="FU931" s="2"/>
      <c r="FV931" s="2"/>
      <c r="FW931" s="2"/>
      <c r="FX931" s="2"/>
      <c r="FY931" s="2"/>
      <c r="FZ931" s="2"/>
      <c r="GA931" s="2"/>
      <c r="GB931" s="2"/>
      <c r="GC931" s="2"/>
      <c r="GD931" s="2"/>
      <c r="GE931" s="2"/>
      <c r="GF931" s="2"/>
      <c r="GG931" s="2"/>
      <c r="GH931" s="2"/>
      <c r="GI931" s="2"/>
      <c r="GJ931" s="2"/>
      <c r="GK931" s="2"/>
      <c r="GL931" s="2"/>
      <c r="GM931" s="2"/>
      <c r="GN931" s="2"/>
      <c r="GO931" s="2"/>
      <c r="GP931" s="2"/>
      <c r="GQ931" s="2"/>
      <c r="GR931" s="2"/>
      <c r="GS931" s="2"/>
      <c r="GT931" s="2"/>
      <c r="GU931" s="2"/>
      <c r="GV931" s="2"/>
      <c r="GW931" s="2"/>
      <c r="GX931" s="2"/>
      <c r="GY931" s="2"/>
      <c r="GZ931" s="2"/>
      <c r="HA931" s="2"/>
      <c r="HB931" s="2"/>
      <c r="HC931" s="2"/>
      <c r="HD931" s="2"/>
      <c r="HE931" s="2"/>
      <c r="HF931" s="2"/>
      <c r="HG931" s="2"/>
      <c r="HH931" s="2"/>
      <c r="HI931" s="2"/>
      <c r="HJ931" s="2"/>
      <c r="HK931" s="2"/>
      <c r="HL931" s="2"/>
      <c r="HM931" s="2"/>
      <c r="HN931" s="2"/>
      <c r="HO931" s="2"/>
      <c r="HP931" s="2"/>
      <c r="HQ931" s="2"/>
      <c r="HR931" s="2"/>
      <c r="HS931" s="2"/>
      <c r="HT931" s="2"/>
      <c r="HU931" s="2"/>
      <c r="HV931" s="2"/>
      <c r="HW931" s="2"/>
      <c r="HX931" s="2"/>
      <c r="HY931" s="2"/>
      <c r="HZ931" s="2"/>
      <c r="IA931" s="2"/>
      <c r="IB931" s="2"/>
      <c r="IC931" s="2"/>
      <c r="ID931" s="2"/>
      <c r="IE931" s="2"/>
      <c r="IF931" s="2"/>
      <c r="IG931" s="2"/>
      <c r="IH931" s="2"/>
      <c r="II931" s="2"/>
      <c r="IJ931" s="2"/>
      <c r="IK931" s="2"/>
      <c r="IL931" s="2"/>
      <c r="IM931" s="2"/>
      <c r="IN931" s="2"/>
      <c r="IO931" s="2"/>
      <c r="IP931" s="2"/>
      <c r="IQ931" s="2"/>
      <c r="IR931" s="2"/>
      <c r="IS931" s="2"/>
      <c r="IT931" s="2"/>
      <c r="IU931" s="2"/>
      <c r="IV931" s="2"/>
      <c r="IW931" s="2"/>
      <c r="IX931" s="2"/>
    </row>
    <row r="932" spans="1:258" ht="21.95" customHeight="1">
      <c r="A932" s="52" t="s">
        <v>1294</v>
      </c>
      <c r="B932" s="24" t="s">
        <v>712</v>
      </c>
      <c r="C932" s="1">
        <f t="shared" si="270"/>
        <v>1747600</v>
      </c>
      <c r="D932" s="21">
        <f t="shared" si="269"/>
        <v>0</v>
      </c>
      <c r="E932" s="21">
        <v>0</v>
      </c>
      <c r="F932" s="21">
        <v>0</v>
      </c>
      <c r="G932" s="21">
        <v>0</v>
      </c>
      <c r="H932" s="21">
        <v>0</v>
      </c>
      <c r="I932" s="21">
        <v>0</v>
      </c>
      <c r="J932" s="21">
        <v>0</v>
      </c>
      <c r="K932" s="40">
        <v>0</v>
      </c>
      <c r="L932" s="21">
        <v>0</v>
      </c>
      <c r="M932" s="21">
        <v>292</v>
      </c>
      <c r="N932" s="23">
        <v>1547600</v>
      </c>
      <c r="O932" s="21">
        <v>0</v>
      </c>
      <c r="P932" s="21">
        <v>0</v>
      </c>
      <c r="Q932" s="21">
        <v>0</v>
      </c>
      <c r="R932" s="21">
        <v>0</v>
      </c>
      <c r="S932" s="21">
        <v>0</v>
      </c>
      <c r="T932" s="3">
        <v>0</v>
      </c>
      <c r="U932" s="21">
        <v>200000</v>
      </c>
    </row>
    <row r="933" spans="1:258" ht="21.95" customHeight="1">
      <c r="A933" s="52" t="s">
        <v>1295</v>
      </c>
      <c r="B933" s="24" t="s">
        <v>713</v>
      </c>
      <c r="C933" s="1">
        <f t="shared" si="270"/>
        <v>1737000</v>
      </c>
      <c r="D933" s="21">
        <f t="shared" si="269"/>
        <v>0</v>
      </c>
      <c r="E933" s="21">
        <v>0</v>
      </c>
      <c r="F933" s="21">
        <v>0</v>
      </c>
      <c r="G933" s="21">
        <v>0</v>
      </c>
      <c r="H933" s="21">
        <v>0</v>
      </c>
      <c r="I933" s="21">
        <v>0</v>
      </c>
      <c r="J933" s="21">
        <v>0</v>
      </c>
      <c r="K933" s="40">
        <v>0</v>
      </c>
      <c r="L933" s="21">
        <v>0</v>
      </c>
      <c r="M933" s="21">
        <v>290</v>
      </c>
      <c r="N933" s="23">
        <v>1537000</v>
      </c>
      <c r="O933" s="21">
        <v>0</v>
      </c>
      <c r="P933" s="21">
        <v>0</v>
      </c>
      <c r="Q933" s="21">
        <v>0</v>
      </c>
      <c r="R933" s="21">
        <v>0</v>
      </c>
      <c r="S933" s="21">
        <v>0</v>
      </c>
      <c r="T933" s="3">
        <v>0</v>
      </c>
      <c r="U933" s="21">
        <v>200000</v>
      </c>
    </row>
    <row r="934" spans="1:258" ht="21.95" customHeight="1">
      <c r="A934" s="52" t="s">
        <v>1296</v>
      </c>
      <c r="B934" s="24" t="s">
        <v>714</v>
      </c>
      <c r="C934" s="1">
        <f t="shared" si="270"/>
        <v>1752900</v>
      </c>
      <c r="D934" s="21">
        <f t="shared" si="269"/>
        <v>0</v>
      </c>
      <c r="E934" s="21">
        <v>0</v>
      </c>
      <c r="F934" s="21">
        <v>0</v>
      </c>
      <c r="G934" s="21">
        <v>0</v>
      </c>
      <c r="H934" s="21">
        <v>0</v>
      </c>
      <c r="I934" s="21">
        <v>0</v>
      </c>
      <c r="J934" s="21">
        <v>0</v>
      </c>
      <c r="K934" s="40">
        <v>0</v>
      </c>
      <c r="L934" s="21">
        <v>0</v>
      </c>
      <c r="M934" s="21">
        <v>293</v>
      </c>
      <c r="N934" s="23">
        <v>1552900</v>
      </c>
      <c r="O934" s="21">
        <v>0</v>
      </c>
      <c r="P934" s="21">
        <v>0</v>
      </c>
      <c r="Q934" s="21">
        <v>0</v>
      </c>
      <c r="R934" s="21">
        <v>0</v>
      </c>
      <c r="S934" s="21">
        <v>0</v>
      </c>
      <c r="T934" s="3">
        <v>0</v>
      </c>
      <c r="U934" s="21">
        <v>200000</v>
      </c>
      <c r="V934" s="9"/>
      <c r="W934" s="9"/>
      <c r="X934" s="9"/>
      <c r="Y934" s="9"/>
      <c r="Z934" s="9"/>
      <c r="AA934" s="9"/>
      <c r="AB934" s="9"/>
      <c r="AC934" s="9"/>
      <c r="AD934" s="9"/>
      <c r="AE934" s="9"/>
      <c r="AF934" s="9"/>
      <c r="AG934" s="9"/>
      <c r="AH934" s="9"/>
      <c r="AI934" s="9"/>
      <c r="AJ934" s="9"/>
      <c r="AK934" s="9"/>
      <c r="AL934" s="9"/>
      <c r="AM934" s="9"/>
      <c r="AN934" s="9"/>
      <c r="AO934" s="9"/>
      <c r="AP934" s="9"/>
      <c r="AQ934" s="9"/>
      <c r="AR934" s="9"/>
      <c r="AS934" s="9"/>
      <c r="AT934" s="9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  <c r="BO934" s="9"/>
      <c r="BP934" s="9"/>
      <c r="BQ934" s="9"/>
      <c r="BR934" s="9"/>
      <c r="BS934" s="9"/>
      <c r="BT934" s="9"/>
      <c r="BU934" s="9"/>
      <c r="BV934" s="9"/>
      <c r="BW934" s="9"/>
      <c r="BX934" s="9"/>
      <c r="BY934" s="9"/>
      <c r="BZ934" s="9"/>
      <c r="CA934" s="9"/>
      <c r="CB934" s="9"/>
      <c r="CC934" s="9"/>
      <c r="CD934" s="9"/>
      <c r="CE934" s="9"/>
      <c r="CF934" s="9"/>
      <c r="CG934" s="9"/>
      <c r="CH934" s="9"/>
      <c r="CI934" s="9"/>
      <c r="CJ934" s="9"/>
      <c r="CK934" s="9"/>
      <c r="CL934" s="9"/>
      <c r="CM934" s="9"/>
      <c r="CN934" s="9"/>
      <c r="CO934" s="9"/>
      <c r="CP934" s="9"/>
      <c r="CQ934" s="9"/>
      <c r="CR934" s="9"/>
      <c r="CS934" s="9"/>
      <c r="CT934" s="9"/>
      <c r="CU934" s="9"/>
      <c r="CV934" s="9"/>
      <c r="CW934" s="9"/>
      <c r="CX934" s="9"/>
      <c r="CY934" s="9"/>
      <c r="CZ934" s="9"/>
      <c r="DA934" s="9"/>
      <c r="DB934" s="9"/>
      <c r="DC934" s="9"/>
      <c r="DD934" s="9"/>
      <c r="DE934" s="9"/>
      <c r="DF934" s="9"/>
      <c r="DG934" s="9"/>
      <c r="DH934" s="9"/>
      <c r="DI934" s="9"/>
      <c r="DJ934" s="9"/>
      <c r="DK934" s="9"/>
      <c r="DL934" s="9"/>
      <c r="DM934" s="9"/>
      <c r="DN934" s="9"/>
      <c r="DO934" s="9"/>
      <c r="DP934" s="9"/>
      <c r="DQ934" s="9"/>
      <c r="DR934" s="9"/>
      <c r="DS934" s="9"/>
      <c r="DT934" s="9"/>
      <c r="DU934" s="9"/>
      <c r="DV934" s="9"/>
      <c r="DW934" s="9"/>
      <c r="DX934" s="9"/>
      <c r="DY934" s="9"/>
      <c r="DZ934" s="9"/>
      <c r="EA934" s="9"/>
      <c r="EB934" s="9"/>
      <c r="EC934" s="9"/>
      <c r="ED934" s="9"/>
      <c r="EE934" s="9"/>
      <c r="EF934" s="9"/>
      <c r="EG934" s="9"/>
      <c r="EH934" s="9"/>
      <c r="EI934" s="9"/>
      <c r="EJ934" s="9"/>
      <c r="EK934" s="9"/>
      <c r="EL934" s="9"/>
      <c r="EM934" s="9"/>
      <c r="EN934" s="9"/>
      <c r="EO934" s="9"/>
      <c r="EP934" s="9"/>
      <c r="EQ934" s="9"/>
      <c r="ER934" s="9"/>
      <c r="ES934" s="9"/>
      <c r="ET934" s="9"/>
      <c r="EU934" s="9"/>
      <c r="EV934" s="9"/>
      <c r="EW934" s="9"/>
      <c r="EX934" s="9"/>
      <c r="EY934" s="9"/>
      <c r="EZ934" s="9"/>
      <c r="FA934" s="9"/>
      <c r="FB934" s="9"/>
      <c r="FC934" s="9"/>
      <c r="FD934" s="9"/>
      <c r="FE934" s="9"/>
      <c r="FF934" s="9"/>
      <c r="FG934" s="9"/>
      <c r="FH934" s="9"/>
      <c r="FI934" s="9"/>
      <c r="FJ934" s="9"/>
      <c r="FK934" s="9"/>
      <c r="FL934" s="9"/>
      <c r="FM934" s="9"/>
      <c r="FN934" s="9"/>
      <c r="FO934" s="9"/>
      <c r="FP934" s="9"/>
      <c r="FQ934" s="9"/>
      <c r="FR934" s="9"/>
      <c r="FS934" s="9"/>
      <c r="FT934" s="9"/>
      <c r="FU934" s="9"/>
      <c r="FV934" s="9"/>
      <c r="FW934" s="9"/>
      <c r="FX934" s="9"/>
      <c r="FY934" s="9"/>
      <c r="FZ934" s="9"/>
      <c r="GA934" s="9"/>
      <c r="GB934" s="9"/>
      <c r="GC934" s="9"/>
      <c r="GD934" s="9"/>
      <c r="GE934" s="9"/>
      <c r="GF934" s="9"/>
      <c r="GG934" s="9"/>
      <c r="GH934" s="9"/>
      <c r="GI934" s="9"/>
      <c r="GJ934" s="9"/>
      <c r="GK934" s="9"/>
      <c r="GL934" s="9"/>
      <c r="GM934" s="9"/>
      <c r="GN934" s="9"/>
      <c r="GO934" s="9"/>
      <c r="GP934" s="9"/>
      <c r="GQ934" s="9"/>
      <c r="GR934" s="9"/>
      <c r="GS934" s="9"/>
      <c r="GT934" s="9"/>
      <c r="GU934" s="9"/>
      <c r="GV934" s="9"/>
      <c r="GW934" s="9"/>
      <c r="GX934" s="9"/>
      <c r="GY934" s="9"/>
      <c r="GZ934" s="9"/>
      <c r="HA934" s="9"/>
      <c r="HB934" s="9"/>
      <c r="HC934" s="9"/>
      <c r="HD934" s="9"/>
      <c r="HE934" s="9"/>
      <c r="HF934" s="9"/>
      <c r="HG934" s="9"/>
      <c r="HH934" s="9"/>
      <c r="HI934" s="9"/>
      <c r="HJ934" s="9"/>
      <c r="HK934" s="9"/>
      <c r="HL934" s="9"/>
      <c r="HM934" s="9"/>
      <c r="HN934" s="9"/>
      <c r="HO934" s="9"/>
      <c r="HP934" s="9"/>
      <c r="HQ934" s="9"/>
      <c r="HR934" s="9"/>
      <c r="HS934" s="9"/>
      <c r="HT934" s="9"/>
      <c r="HU934" s="9"/>
      <c r="HV934" s="9"/>
      <c r="HW934" s="9"/>
      <c r="HX934" s="9"/>
      <c r="HY934" s="9"/>
      <c r="HZ934" s="9"/>
      <c r="IA934" s="9"/>
      <c r="IB934" s="9"/>
      <c r="IC934" s="9"/>
      <c r="ID934" s="9"/>
      <c r="IE934" s="9"/>
      <c r="IF934" s="9"/>
      <c r="IG934" s="9"/>
      <c r="IH934" s="9"/>
      <c r="II934" s="9"/>
      <c r="IJ934" s="9"/>
      <c r="IK934" s="9"/>
      <c r="IL934" s="9"/>
      <c r="IM934" s="9"/>
      <c r="IN934" s="9"/>
      <c r="IO934" s="9"/>
      <c r="IP934" s="9"/>
      <c r="IQ934" s="9"/>
      <c r="IR934" s="9"/>
      <c r="IS934" s="9"/>
      <c r="IT934" s="9"/>
      <c r="IU934" s="9"/>
      <c r="IV934" s="9"/>
      <c r="IW934" s="9"/>
      <c r="IX934" s="9"/>
    </row>
    <row r="935" spans="1:258" s="9" customFormat="1" ht="21.95" customHeight="1">
      <c r="A935" s="52" t="s">
        <v>1297</v>
      </c>
      <c r="B935" s="24" t="s">
        <v>715</v>
      </c>
      <c r="C935" s="1">
        <f t="shared" si="270"/>
        <v>1752900</v>
      </c>
      <c r="D935" s="21">
        <f t="shared" si="269"/>
        <v>0</v>
      </c>
      <c r="E935" s="21">
        <v>0</v>
      </c>
      <c r="F935" s="21">
        <v>0</v>
      </c>
      <c r="G935" s="21">
        <v>0</v>
      </c>
      <c r="H935" s="21">
        <v>0</v>
      </c>
      <c r="I935" s="21">
        <v>0</v>
      </c>
      <c r="J935" s="21">
        <v>0</v>
      </c>
      <c r="K935" s="40">
        <v>0</v>
      </c>
      <c r="L935" s="21">
        <v>0</v>
      </c>
      <c r="M935" s="21">
        <v>293</v>
      </c>
      <c r="N935" s="23">
        <v>1552900</v>
      </c>
      <c r="O935" s="21">
        <v>0</v>
      </c>
      <c r="P935" s="21">
        <v>0</v>
      </c>
      <c r="Q935" s="21">
        <v>0</v>
      </c>
      <c r="R935" s="21">
        <v>0</v>
      </c>
      <c r="S935" s="21">
        <v>0</v>
      </c>
      <c r="T935" s="3">
        <v>0</v>
      </c>
      <c r="U935" s="21">
        <v>200000</v>
      </c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  <c r="FE935" s="2"/>
      <c r="FF935" s="2"/>
      <c r="FG935" s="2"/>
      <c r="FH935" s="2"/>
      <c r="FI935" s="2"/>
      <c r="FJ935" s="2"/>
      <c r="FK935" s="2"/>
      <c r="FL935" s="2"/>
      <c r="FM935" s="2"/>
      <c r="FN935" s="2"/>
      <c r="FO935" s="2"/>
      <c r="FP935" s="2"/>
      <c r="FQ935" s="2"/>
      <c r="FR935" s="2"/>
      <c r="FS935" s="2"/>
      <c r="FT935" s="2"/>
      <c r="FU935" s="2"/>
      <c r="FV935" s="2"/>
      <c r="FW935" s="2"/>
      <c r="FX935" s="2"/>
      <c r="FY935" s="2"/>
      <c r="FZ935" s="2"/>
      <c r="GA935" s="2"/>
      <c r="GB935" s="2"/>
      <c r="GC935" s="2"/>
      <c r="GD935" s="2"/>
      <c r="GE935" s="2"/>
      <c r="GF935" s="2"/>
      <c r="GG935" s="2"/>
      <c r="GH935" s="2"/>
      <c r="GI935" s="2"/>
      <c r="GJ935" s="2"/>
      <c r="GK935" s="2"/>
      <c r="GL935" s="2"/>
      <c r="GM935" s="2"/>
      <c r="GN935" s="2"/>
      <c r="GO935" s="2"/>
      <c r="GP935" s="2"/>
      <c r="GQ935" s="2"/>
      <c r="GR935" s="2"/>
      <c r="GS935" s="2"/>
      <c r="GT935" s="2"/>
      <c r="GU935" s="2"/>
      <c r="GV935" s="2"/>
      <c r="GW935" s="2"/>
      <c r="GX935" s="2"/>
      <c r="GY935" s="2"/>
      <c r="GZ935" s="2"/>
      <c r="HA935" s="2"/>
      <c r="HB935" s="2"/>
      <c r="HC935" s="2"/>
      <c r="HD935" s="2"/>
      <c r="HE935" s="2"/>
      <c r="HF935" s="2"/>
      <c r="HG935" s="2"/>
      <c r="HH935" s="2"/>
      <c r="HI935" s="2"/>
      <c r="HJ935" s="2"/>
      <c r="HK935" s="2"/>
      <c r="HL935" s="2"/>
      <c r="HM935" s="2"/>
      <c r="HN935" s="2"/>
      <c r="HO935" s="2"/>
      <c r="HP935" s="2"/>
      <c r="HQ935" s="2"/>
      <c r="HR935" s="2"/>
      <c r="HS935" s="2"/>
      <c r="HT935" s="2"/>
      <c r="HU935" s="2"/>
      <c r="HV935" s="2"/>
      <c r="HW935" s="2"/>
      <c r="HX935" s="2"/>
      <c r="HY935" s="2"/>
      <c r="HZ935" s="2"/>
      <c r="IA935" s="2"/>
      <c r="IB935" s="2"/>
      <c r="IC935" s="2"/>
      <c r="ID935" s="2"/>
      <c r="IE935" s="2"/>
      <c r="IF935" s="2"/>
      <c r="IG935" s="2"/>
      <c r="IH935" s="2"/>
      <c r="II935" s="2"/>
      <c r="IJ935" s="2"/>
      <c r="IK935" s="2"/>
      <c r="IL935" s="2"/>
      <c r="IM935" s="2"/>
      <c r="IN935" s="2"/>
      <c r="IO935" s="2"/>
      <c r="IP935" s="2"/>
      <c r="IQ935" s="2"/>
      <c r="IR935" s="2"/>
      <c r="IS935" s="2"/>
      <c r="IT935" s="2"/>
      <c r="IU935" s="2"/>
      <c r="IV935" s="2"/>
      <c r="IW935" s="2"/>
      <c r="IX935" s="2"/>
    </row>
    <row r="936" spans="1:258" ht="21.95" customHeight="1">
      <c r="A936" s="52" t="s">
        <v>1298</v>
      </c>
      <c r="B936" s="24" t="s">
        <v>716</v>
      </c>
      <c r="C936" s="1">
        <f t="shared" si="270"/>
        <v>1758200</v>
      </c>
      <c r="D936" s="21">
        <f t="shared" si="269"/>
        <v>0</v>
      </c>
      <c r="E936" s="21">
        <v>0</v>
      </c>
      <c r="F936" s="21">
        <v>0</v>
      </c>
      <c r="G936" s="21">
        <v>0</v>
      </c>
      <c r="H936" s="21">
        <v>0</v>
      </c>
      <c r="I936" s="21">
        <v>0</v>
      </c>
      <c r="J936" s="21">
        <v>0</v>
      </c>
      <c r="K936" s="40">
        <v>0</v>
      </c>
      <c r="L936" s="21">
        <v>0</v>
      </c>
      <c r="M936" s="21">
        <v>294</v>
      </c>
      <c r="N936" s="23">
        <v>1558200</v>
      </c>
      <c r="O936" s="21">
        <v>0</v>
      </c>
      <c r="P936" s="21">
        <v>0</v>
      </c>
      <c r="Q936" s="21">
        <v>0</v>
      </c>
      <c r="R936" s="21">
        <v>0</v>
      </c>
      <c r="S936" s="21">
        <v>0</v>
      </c>
      <c r="T936" s="3">
        <v>0</v>
      </c>
      <c r="U936" s="21">
        <v>200000</v>
      </c>
    </row>
    <row r="937" spans="1:258" ht="21.95" customHeight="1">
      <c r="A937" s="52" t="s">
        <v>1299</v>
      </c>
      <c r="B937" s="24" t="s">
        <v>717</v>
      </c>
      <c r="C937" s="1">
        <f t="shared" si="270"/>
        <v>1742300</v>
      </c>
      <c r="D937" s="21">
        <f t="shared" si="269"/>
        <v>0</v>
      </c>
      <c r="E937" s="21">
        <v>0</v>
      </c>
      <c r="F937" s="21">
        <v>0</v>
      </c>
      <c r="G937" s="21">
        <v>0</v>
      </c>
      <c r="H937" s="21">
        <v>0</v>
      </c>
      <c r="I937" s="21">
        <v>0</v>
      </c>
      <c r="J937" s="21">
        <v>0</v>
      </c>
      <c r="K937" s="40">
        <v>0</v>
      </c>
      <c r="L937" s="21">
        <v>0</v>
      </c>
      <c r="M937" s="21">
        <v>291</v>
      </c>
      <c r="N937" s="23">
        <v>1542300</v>
      </c>
      <c r="O937" s="21">
        <v>0</v>
      </c>
      <c r="P937" s="21">
        <v>0</v>
      </c>
      <c r="Q937" s="21">
        <v>0</v>
      </c>
      <c r="R937" s="21">
        <v>0</v>
      </c>
      <c r="S937" s="21">
        <v>0</v>
      </c>
      <c r="T937" s="3">
        <v>0</v>
      </c>
      <c r="U937" s="21">
        <v>200000</v>
      </c>
      <c r="V937" s="14"/>
      <c r="W937" s="14"/>
      <c r="X937" s="14"/>
      <c r="Y937" s="14"/>
      <c r="Z937" s="14"/>
      <c r="AA937" s="14"/>
      <c r="AB937" s="14"/>
      <c r="AC937" s="14"/>
      <c r="AD937" s="14"/>
      <c r="AE937" s="14"/>
      <c r="AF937" s="14"/>
      <c r="AG937" s="14"/>
      <c r="AH937" s="14"/>
      <c r="AI937" s="14"/>
      <c r="AJ937" s="14"/>
      <c r="AK937" s="14"/>
      <c r="AL937" s="14"/>
      <c r="AM937" s="14"/>
      <c r="AN937" s="14"/>
      <c r="AO937" s="14"/>
      <c r="AP937" s="14"/>
      <c r="AQ937" s="14"/>
      <c r="AR937" s="14"/>
      <c r="AS937" s="14"/>
      <c r="AT937" s="14"/>
      <c r="AU937" s="14"/>
      <c r="AV937" s="14"/>
      <c r="AW937" s="14"/>
      <c r="AX937" s="14"/>
      <c r="AY937" s="14"/>
      <c r="AZ937" s="14"/>
      <c r="BA937" s="14"/>
      <c r="BB937" s="14"/>
      <c r="BC937" s="14"/>
      <c r="BD937" s="14"/>
      <c r="BE937" s="14"/>
      <c r="BF937" s="14"/>
      <c r="BG937" s="14"/>
      <c r="BH937" s="14"/>
      <c r="BI937" s="14"/>
      <c r="BJ937" s="14"/>
      <c r="BK937" s="14"/>
      <c r="BL937" s="14"/>
      <c r="BM937" s="14"/>
      <c r="BN937" s="14"/>
      <c r="BO937" s="14"/>
      <c r="BP937" s="14"/>
      <c r="BQ937" s="14"/>
      <c r="BR937" s="14"/>
      <c r="BS937" s="14"/>
      <c r="BT937" s="14"/>
      <c r="BU937" s="14"/>
      <c r="BV937" s="14"/>
      <c r="BW937" s="14"/>
      <c r="BX937" s="14"/>
      <c r="BY937" s="14"/>
      <c r="BZ937" s="14"/>
      <c r="CA937" s="14"/>
      <c r="CB937" s="14"/>
      <c r="CC937" s="14"/>
      <c r="CD937" s="14"/>
      <c r="CE937" s="14"/>
      <c r="CF937" s="14"/>
      <c r="CG937" s="14"/>
      <c r="CH937" s="14"/>
      <c r="CI937" s="14"/>
      <c r="CJ937" s="14"/>
      <c r="CK937" s="14"/>
      <c r="CL937" s="14"/>
      <c r="CM937" s="14"/>
      <c r="CN937" s="14"/>
      <c r="CO937" s="14"/>
      <c r="CP937" s="14"/>
      <c r="CQ937" s="14"/>
      <c r="CR937" s="14"/>
      <c r="CS937" s="14"/>
      <c r="CT937" s="14"/>
      <c r="CU937" s="14"/>
      <c r="CV937" s="14"/>
      <c r="CW937" s="14"/>
      <c r="CX937" s="14"/>
      <c r="CY937" s="14"/>
      <c r="CZ937" s="14"/>
      <c r="DA937" s="14"/>
      <c r="DB937" s="14"/>
      <c r="DC937" s="14"/>
      <c r="DD937" s="14"/>
      <c r="DE937" s="14"/>
      <c r="DF937" s="14"/>
      <c r="DG937" s="14"/>
      <c r="DH937" s="14"/>
      <c r="DI937" s="14"/>
      <c r="DJ937" s="14"/>
      <c r="DK937" s="14"/>
      <c r="DL937" s="14"/>
      <c r="DM937" s="14"/>
      <c r="DN937" s="14"/>
      <c r="DO937" s="14"/>
      <c r="DP937" s="14"/>
      <c r="DQ937" s="14"/>
      <c r="DR937" s="14"/>
      <c r="DS937" s="14"/>
      <c r="DT937" s="14"/>
      <c r="DU937" s="14"/>
      <c r="DV937" s="14"/>
      <c r="DW937" s="14"/>
      <c r="DX937" s="14"/>
      <c r="DY937" s="14"/>
      <c r="DZ937" s="14"/>
      <c r="EA937" s="14"/>
      <c r="EB937" s="14"/>
      <c r="EC937" s="14"/>
      <c r="ED937" s="14"/>
      <c r="EE937" s="14"/>
      <c r="EF937" s="14"/>
      <c r="EG937" s="14"/>
      <c r="EH937" s="14"/>
      <c r="EI937" s="14"/>
      <c r="EJ937" s="14"/>
      <c r="EK937" s="14"/>
      <c r="EL937" s="14"/>
      <c r="EM937" s="14"/>
      <c r="EN937" s="14"/>
      <c r="EO937" s="14"/>
      <c r="EP937" s="14"/>
      <c r="EQ937" s="14"/>
      <c r="ER937" s="14"/>
      <c r="ES937" s="14"/>
      <c r="ET937" s="14"/>
      <c r="EU937" s="14"/>
      <c r="EV937" s="14"/>
      <c r="EW937" s="14"/>
      <c r="EX937" s="14"/>
      <c r="EY937" s="14"/>
      <c r="EZ937" s="14"/>
      <c r="FA937" s="14"/>
      <c r="FB937" s="14"/>
      <c r="FC937" s="14"/>
      <c r="FD937" s="14"/>
      <c r="FE937" s="14"/>
      <c r="FF937" s="14"/>
      <c r="FG937" s="14"/>
      <c r="FH937" s="14"/>
      <c r="FI937" s="14"/>
      <c r="FJ937" s="14"/>
      <c r="FK937" s="14"/>
      <c r="FL937" s="14"/>
      <c r="FM937" s="14"/>
      <c r="FN937" s="14"/>
      <c r="FO937" s="14"/>
      <c r="FP937" s="14"/>
      <c r="FQ937" s="14"/>
      <c r="FR937" s="14"/>
      <c r="FS937" s="14"/>
      <c r="FT937" s="14"/>
      <c r="FU937" s="14"/>
      <c r="FV937" s="14"/>
      <c r="FW937" s="14"/>
      <c r="FX937" s="14"/>
      <c r="FY937" s="14"/>
      <c r="FZ937" s="14"/>
      <c r="GA937" s="14"/>
      <c r="GB937" s="14"/>
      <c r="GC937" s="14"/>
      <c r="GD937" s="14"/>
      <c r="GE937" s="14"/>
      <c r="GF937" s="14"/>
      <c r="GG937" s="14"/>
      <c r="GH937" s="14"/>
      <c r="GI937" s="14"/>
      <c r="GJ937" s="14"/>
      <c r="GK937" s="14"/>
      <c r="GL937" s="14"/>
      <c r="GM937" s="14"/>
      <c r="GN937" s="14"/>
      <c r="GO937" s="14"/>
      <c r="GP937" s="14"/>
      <c r="GQ937" s="14"/>
      <c r="GR937" s="14"/>
      <c r="GS937" s="14"/>
      <c r="GT937" s="14"/>
      <c r="GU937" s="14"/>
      <c r="GV937" s="14"/>
      <c r="GW937" s="14"/>
      <c r="GX937" s="14"/>
      <c r="GY937" s="14"/>
      <c r="GZ937" s="14"/>
      <c r="HA937" s="14"/>
      <c r="HB937" s="14"/>
      <c r="HC937" s="14"/>
      <c r="HD937" s="14"/>
      <c r="HE937" s="14"/>
      <c r="HF937" s="14"/>
      <c r="HG937" s="14"/>
      <c r="HH937" s="14"/>
      <c r="HI937" s="14"/>
      <c r="HJ937" s="14"/>
      <c r="HK937" s="14"/>
      <c r="HL937" s="14"/>
      <c r="HM937" s="14"/>
      <c r="HN937" s="14"/>
      <c r="HO937" s="14"/>
      <c r="HP937" s="14"/>
      <c r="HQ937" s="14"/>
      <c r="HR937" s="14"/>
      <c r="HS937" s="14"/>
      <c r="HT937" s="14"/>
      <c r="HU937" s="14"/>
      <c r="HV937" s="14"/>
      <c r="HW937" s="14"/>
      <c r="HX937" s="14"/>
      <c r="HY937" s="14"/>
      <c r="HZ937" s="14"/>
      <c r="IA937" s="14"/>
      <c r="IB937" s="14"/>
      <c r="IC937" s="14"/>
      <c r="ID937" s="14"/>
      <c r="IE937" s="14"/>
      <c r="IF937" s="14"/>
      <c r="IG937" s="14"/>
      <c r="IH937" s="14"/>
      <c r="II937" s="14"/>
      <c r="IJ937" s="14"/>
      <c r="IK937" s="14"/>
      <c r="IL937" s="14"/>
      <c r="IM937" s="14"/>
      <c r="IN937" s="14"/>
      <c r="IO937" s="14"/>
      <c r="IP937" s="14"/>
      <c r="IQ937" s="14"/>
      <c r="IR937" s="14"/>
      <c r="IS937" s="14"/>
      <c r="IT937" s="14"/>
      <c r="IU937" s="14"/>
      <c r="IV937" s="14"/>
      <c r="IW937" s="14"/>
      <c r="IX937" s="14"/>
    </row>
    <row r="938" spans="1:258" ht="21.95" customHeight="1">
      <c r="A938" s="52" t="s">
        <v>1300</v>
      </c>
      <c r="B938" s="24" t="s">
        <v>718</v>
      </c>
      <c r="C938" s="1">
        <f t="shared" si="270"/>
        <v>1731700</v>
      </c>
      <c r="D938" s="21">
        <f t="shared" si="269"/>
        <v>0</v>
      </c>
      <c r="E938" s="21">
        <v>0</v>
      </c>
      <c r="F938" s="21">
        <v>0</v>
      </c>
      <c r="G938" s="21">
        <v>0</v>
      </c>
      <c r="H938" s="21">
        <v>0</v>
      </c>
      <c r="I938" s="21">
        <v>0</v>
      </c>
      <c r="J938" s="21">
        <v>0</v>
      </c>
      <c r="K938" s="40">
        <v>0</v>
      </c>
      <c r="L938" s="21">
        <v>0</v>
      </c>
      <c r="M938" s="21">
        <v>289</v>
      </c>
      <c r="N938" s="21">
        <v>1531700</v>
      </c>
      <c r="O938" s="21">
        <v>0</v>
      </c>
      <c r="P938" s="21">
        <v>0</v>
      </c>
      <c r="Q938" s="21">
        <v>0</v>
      </c>
      <c r="R938" s="21">
        <v>0</v>
      </c>
      <c r="S938" s="21">
        <v>0</v>
      </c>
      <c r="T938" s="3">
        <v>0</v>
      </c>
      <c r="U938" s="21">
        <v>200000</v>
      </c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F938" s="14"/>
      <c r="AG938" s="14"/>
      <c r="AH938" s="14"/>
      <c r="AI938" s="14"/>
      <c r="AJ938" s="14"/>
      <c r="AK938" s="14"/>
      <c r="AL938" s="14"/>
      <c r="AM938" s="14"/>
      <c r="AN938" s="14"/>
      <c r="AO938" s="14"/>
      <c r="AP938" s="14"/>
      <c r="AQ938" s="14"/>
      <c r="AR938" s="14"/>
      <c r="AS938" s="14"/>
      <c r="AT938" s="14"/>
      <c r="AU938" s="14"/>
      <c r="AV938" s="14"/>
      <c r="AW938" s="14"/>
      <c r="AX938" s="14"/>
      <c r="AY938" s="14"/>
      <c r="AZ938" s="14"/>
      <c r="BA938" s="14"/>
      <c r="BB938" s="14"/>
      <c r="BC938" s="14"/>
      <c r="BD938" s="14"/>
      <c r="BE938" s="14"/>
      <c r="BF938" s="14"/>
      <c r="BG938" s="14"/>
      <c r="BH938" s="14"/>
      <c r="BI938" s="14"/>
      <c r="BJ938" s="14"/>
      <c r="BK938" s="14"/>
      <c r="BL938" s="14"/>
      <c r="BM938" s="14"/>
      <c r="BN938" s="14"/>
      <c r="BO938" s="14"/>
      <c r="BP938" s="14"/>
      <c r="BQ938" s="14"/>
      <c r="BR938" s="14"/>
      <c r="BS938" s="14"/>
      <c r="BT938" s="14"/>
      <c r="BU938" s="14"/>
      <c r="BV938" s="14"/>
      <c r="BW938" s="14"/>
      <c r="BX938" s="14"/>
      <c r="BY938" s="14"/>
      <c r="BZ938" s="14"/>
      <c r="CA938" s="14"/>
      <c r="CB938" s="14"/>
      <c r="CC938" s="14"/>
      <c r="CD938" s="14"/>
      <c r="CE938" s="14"/>
      <c r="CF938" s="14"/>
      <c r="CG938" s="14"/>
      <c r="CH938" s="14"/>
      <c r="CI938" s="14"/>
      <c r="CJ938" s="14"/>
      <c r="CK938" s="14"/>
      <c r="CL938" s="14"/>
      <c r="CM938" s="14"/>
      <c r="CN938" s="14"/>
      <c r="CO938" s="14"/>
      <c r="CP938" s="14"/>
      <c r="CQ938" s="14"/>
      <c r="CR938" s="14"/>
      <c r="CS938" s="14"/>
      <c r="CT938" s="14"/>
      <c r="CU938" s="14"/>
      <c r="CV938" s="14"/>
      <c r="CW938" s="14"/>
      <c r="CX938" s="14"/>
      <c r="CY938" s="14"/>
      <c r="CZ938" s="14"/>
      <c r="DA938" s="14"/>
      <c r="DB938" s="14"/>
      <c r="DC938" s="14"/>
      <c r="DD938" s="14"/>
      <c r="DE938" s="14"/>
      <c r="DF938" s="14"/>
      <c r="DG938" s="14"/>
      <c r="DH938" s="14"/>
      <c r="DI938" s="14"/>
      <c r="DJ938" s="14"/>
      <c r="DK938" s="14"/>
      <c r="DL938" s="14"/>
      <c r="DM938" s="14"/>
      <c r="DN938" s="14"/>
      <c r="DO938" s="14"/>
      <c r="DP938" s="14"/>
      <c r="DQ938" s="14"/>
      <c r="DR938" s="14"/>
      <c r="DS938" s="14"/>
      <c r="DT938" s="14"/>
      <c r="DU938" s="14"/>
      <c r="DV938" s="14"/>
      <c r="DW938" s="14"/>
      <c r="DX938" s="14"/>
      <c r="DY938" s="14"/>
      <c r="DZ938" s="14"/>
      <c r="EA938" s="14"/>
      <c r="EB938" s="14"/>
      <c r="EC938" s="14"/>
      <c r="ED938" s="14"/>
      <c r="EE938" s="14"/>
      <c r="EF938" s="14"/>
      <c r="EG938" s="14"/>
      <c r="EH938" s="14"/>
      <c r="EI938" s="14"/>
      <c r="EJ938" s="14"/>
      <c r="EK938" s="14"/>
      <c r="EL938" s="14"/>
      <c r="EM938" s="14"/>
      <c r="EN938" s="14"/>
      <c r="EO938" s="14"/>
      <c r="EP938" s="14"/>
      <c r="EQ938" s="14"/>
      <c r="ER938" s="14"/>
      <c r="ES938" s="14"/>
      <c r="ET938" s="14"/>
      <c r="EU938" s="14"/>
      <c r="EV938" s="14"/>
      <c r="EW938" s="14"/>
      <c r="EX938" s="14"/>
      <c r="EY938" s="14"/>
      <c r="EZ938" s="14"/>
      <c r="FA938" s="14"/>
      <c r="FB938" s="14"/>
      <c r="FC938" s="14"/>
      <c r="FD938" s="14"/>
      <c r="FE938" s="14"/>
      <c r="FF938" s="14"/>
      <c r="FG938" s="14"/>
      <c r="FH938" s="14"/>
      <c r="FI938" s="14"/>
      <c r="FJ938" s="14"/>
      <c r="FK938" s="14"/>
      <c r="FL938" s="14"/>
      <c r="FM938" s="14"/>
      <c r="FN938" s="14"/>
      <c r="FO938" s="14"/>
      <c r="FP938" s="14"/>
      <c r="FQ938" s="14"/>
      <c r="FR938" s="14"/>
      <c r="FS938" s="14"/>
      <c r="FT938" s="14"/>
      <c r="FU938" s="14"/>
      <c r="FV938" s="14"/>
      <c r="FW938" s="14"/>
      <c r="FX938" s="14"/>
      <c r="FY938" s="14"/>
      <c r="FZ938" s="14"/>
      <c r="GA938" s="14"/>
      <c r="GB938" s="14"/>
      <c r="GC938" s="14"/>
      <c r="GD938" s="14"/>
      <c r="GE938" s="14"/>
      <c r="GF938" s="14"/>
      <c r="GG938" s="14"/>
      <c r="GH938" s="14"/>
      <c r="GI938" s="14"/>
      <c r="GJ938" s="14"/>
      <c r="GK938" s="14"/>
      <c r="GL938" s="14"/>
      <c r="GM938" s="14"/>
      <c r="GN938" s="14"/>
      <c r="GO938" s="14"/>
      <c r="GP938" s="14"/>
      <c r="GQ938" s="14"/>
      <c r="GR938" s="14"/>
      <c r="GS938" s="14"/>
      <c r="GT938" s="14"/>
      <c r="GU938" s="14"/>
      <c r="GV938" s="14"/>
      <c r="GW938" s="14"/>
      <c r="GX938" s="14"/>
      <c r="GY938" s="14"/>
      <c r="GZ938" s="14"/>
      <c r="HA938" s="14"/>
      <c r="HB938" s="14"/>
      <c r="HC938" s="14"/>
      <c r="HD938" s="14"/>
      <c r="HE938" s="14"/>
      <c r="HF938" s="14"/>
      <c r="HG938" s="14"/>
      <c r="HH938" s="14"/>
      <c r="HI938" s="14"/>
      <c r="HJ938" s="14"/>
      <c r="HK938" s="14"/>
      <c r="HL938" s="14"/>
      <c r="HM938" s="14"/>
      <c r="HN938" s="14"/>
      <c r="HO938" s="14"/>
      <c r="HP938" s="14"/>
      <c r="HQ938" s="14"/>
      <c r="HR938" s="14"/>
      <c r="HS938" s="14"/>
      <c r="HT938" s="14"/>
      <c r="HU938" s="14"/>
      <c r="HV938" s="14"/>
      <c r="HW938" s="14"/>
      <c r="HX938" s="14"/>
      <c r="HY938" s="14"/>
      <c r="HZ938" s="14"/>
      <c r="IA938" s="14"/>
      <c r="IB938" s="14"/>
      <c r="IC938" s="14"/>
      <c r="ID938" s="14"/>
      <c r="IE938" s="14"/>
      <c r="IF938" s="14"/>
      <c r="IG938" s="14"/>
      <c r="IH938" s="14"/>
      <c r="II938" s="14"/>
      <c r="IJ938" s="14"/>
      <c r="IK938" s="14"/>
      <c r="IL938" s="14"/>
      <c r="IM938" s="14"/>
      <c r="IN938" s="14"/>
      <c r="IO938" s="14"/>
      <c r="IP938" s="14"/>
      <c r="IQ938" s="14"/>
      <c r="IR938" s="14"/>
      <c r="IS938" s="14"/>
      <c r="IT938" s="14"/>
      <c r="IU938" s="14"/>
      <c r="IV938" s="14"/>
      <c r="IW938" s="14"/>
      <c r="IX938" s="14"/>
    </row>
    <row r="939" spans="1:258" ht="21.95" customHeight="1">
      <c r="A939" s="52" t="s">
        <v>1301</v>
      </c>
      <c r="B939" s="24" t="s">
        <v>805</v>
      </c>
      <c r="C939" s="1">
        <f t="shared" si="270"/>
        <v>3507200</v>
      </c>
      <c r="D939" s="21">
        <f t="shared" si="269"/>
        <v>0</v>
      </c>
      <c r="E939" s="21">
        <v>0</v>
      </c>
      <c r="F939" s="21">
        <v>0</v>
      </c>
      <c r="G939" s="21">
        <v>0</v>
      </c>
      <c r="H939" s="21">
        <v>0</v>
      </c>
      <c r="I939" s="21">
        <v>0</v>
      </c>
      <c r="J939" s="21">
        <v>0</v>
      </c>
      <c r="K939" s="40">
        <v>0</v>
      </c>
      <c r="L939" s="21">
        <v>0</v>
      </c>
      <c r="M939" s="3">
        <v>624</v>
      </c>
      <c r="N939" s="3">
        <v>3307200</v>
      </c>
      <c r="O939" s="21">
        <v>0</v>
      </c>
      <c r="P939" s="21">
        <v>0</v>
      </c>
      <c r="Q939" s="21">
        <v>0</v>
      </c>
      <c r="R939" s="21">
        <v>0</v>
      </c>
      <c r="S939" s="21">
        <v>0</v>
      </c>
      <c r="T939" s="3">
        <v>0</v>
      </c>
      <c r="U939" s="21">
        <v>200000</v>
      </c>
    </row>
    <row r="940" spans="1:258" ht="21.95" customHeight="1">
      <c r="A940" s="52" t="s">
        <v>1302</v>
      </c>
      <c r="B940" s="24" t="s">
        <v>719</v>
      </c>
      <c r="C940" s="1">
        <f t="shared" si="270"/>
        <v>1747600</v>
      </c>
      <c r="D940" s="21">
        <f t="shared" si="269"/>
        <v>0</v>
      </c>
      <c r="E940" s="21">
        <v>0</v>
      </c>
      <c r="F940" s="21">
        <v>0</v>
      </c>
      <c r="G940" s="21">
        <v>0</v>
      </c>
      <c r="H940" s="21">
        <v>0</v>
      </c>
      <c r="I940" s="21">
        <v>0</v>
      </c>
      <c r="J940" s="21">
        <v>0</v>
      </c>
      <c r="K940" s="40">
        <v>0</v>
      </c>
      <c r="L940" s="21">
        <v>0</v>
      </c>
      <c r="M940" s="21">
        <v>292</v>
      </c>
      <c r="N940" s="23">
        <v>1547600</v>
      </c>
      <c r="O940" s="21">
        <v>0</v>
      </c>
      <c r="P940" s="21">
        <v>0</v>
      </c>
      <c r="Q940" s="21">
        <v>0</v>
      </c>
      <c r="R940" s="21">
        <v>0</v>
      </c>
      <c r="S940" s="21">
        <v>0</v>
      </c>
      <c r="T940" s="3">
        <v>0</v>
      </c>
      <c r="U940" s="21">
        <v>200000</v>
      </c>
    </row>
    <row r="941" spans="1:258" ht="21.95" customHeight="1">
      <c r="A941" s="52" t="s">
        <v>1303</v>
      </c>
      <c r="B941" s="24" t="s">
        <v>720</v>
      </c>
      <c r="C941" s="1">
        <f t="shared" si="270"/>
        <v>1747600</v>
      </c>
      <c r="D941" s="21">
        <f t="shared" si="269"/>
        <v>0</v>
      </c>
      <c r="E941" s="21">
        <v>0</v>
      </c>
      <c r="F941" s="21">
        <v>0</v>
      </c>
      <c r="G941" s="21">
        <v>0</v>
      </c>
      <c r="H941" s="21">
        <v>0</v>
      </c>
      <c r="I941" s="21">
        <v>0</v>
      </c>
      <c r="J941" s="21">
        <v>0</v>
      </c>
      <c r="K941" s="40">
        <v>0</v>
      </c>
      <c r="L941" s="21">
        <v>0</v>
      </c>
      <c r="M941" s="21">
        <v>292</v>
      </c>
      <c r="N941" s="23">
        <v>1547600</v>
      </c>
      <c r="O941" s="21">
        <v>0</v>
      </c>
      <c r="P941" s="21">
        <v>0</v>
      </c>
      <c r="Q941" s="21">
        <v>0</v>
      </c>
      <c r="R941" s="21">
        <v>0</v>
      </c>
      <c r="S941" s="21">
        <v>0</v>
      </c>
      <c r="T941" s="3">
        <v>0</v>
      </c>
      <c r="U941" s="21">
        <v>200000</v>
      </c>
    </row>
    <row r="942" spans="1:258" ht="21.95" customHeight="1">
      <c r="A942" s="52" t="s">
        <v>1304</v>
      </c>
      <c r="B942" s="24" t="s">
        <v>721</v>
      </c>
      <c r="C942" s="1">
        <f t="shared" si="270"/>
        <v>3766900</v>
      </c>
      <c r="D942" s="21">
        <f t="shared" si="269"/>
        <v>0</v>
      </c>
      <c r="E942" s="21">
        <v>0</v>
      </c>
      <c r="F942" s="21">
        <v>0</v>
      </c>
      <c r="G942" s="21">
        <v>0</v>
      </c>
      <c r="H942" s="21">
        <v>0</v>
      </c>
      <c r="I942" s="21">
        <v>0</v>
      </c>
      <c r="J942" s="21">
        <v>0</v>
      </c>
      <c r="K942" s="40">
        <v>0</v>
      </c>
      <c r="L942" s="21">
        <v>0</v>
      </c>
      <c r="M942" s="21">
        <v>673</v>
      </c>
      <c r="N942" s="23">
        <v>3566900</v>
      </c>
      <c r="O942" s="21">
        <v>0</v>
      </c>
      <c r="P942" s="21">
        <v>0</v>
      </c>
      <c r="Q942" s="21">
        <v>0</v>
      </c>
      <c r="R942" s="21">
        <v>0</v>
      </c>
      <c r="S942" s="21">
        <v>0</v>
      </c>
      <c r="T942" s="3">
        <v>0</v>
      </c>
      <c r="U942" s="21">
        <v>200000</v>
      </c>
    </row>
    <row r="943" spans="1:258" ht="21.95" customHeight="1">
      <c r="A943" s="52" t="s">
        <v>1305</v>
      </c>
      <c r="B943" s="24" t="s">
        <v>722</v>
      </c>
      <c r="C943" s="1">
        <f t="shared" si="270"/>
        <v>1774100</v>
      </c>
      <c r="D943" s="21">
        <f t="shared" si="269"/>
        <v>0</v>
      </c>
      <c r="E943" s="21">
        <v>0</v>
      </c>
      <c r="F943" s="21">
        <v>0</v>
      </c>
      <c r="G943" s="21">
        <v>0</v>
      </c>
      <c r="H943" s="21">
        <v>0</v>
      </c>
      <c r="I943" s="21">
        <v>0</v>
      </c>
      <c r="J943" s="21">
        <v>0</v>
      </c>
      <c r="K943" s="40">
        <v>0</v>
      </c>
      <c r="L943" s="21">
        <v>0</v>
      </c>
      <c r="M943" s="21">
        <v>297</v>
      </c>
      <c r="N943" s="23">
        <v>1574100</v>
      </c>
      <c r="O943" s="21">
        <v>0</v>
      </c>
      <c r="P943" s="21">
        <v>0</v>
      </c>
      <c r="Q943" s="21">
        <v>0</v>
      </c>
      <c r="R943" s="21">
        <v>0</v>
      </c>
      <c r="S943" s="21">
        <v>0</v>
      </c>
      <c r="T943" s="3">
        <v>0</v>
      </c>
      <c r="U943" s="21">
        <v>200000</v>
      </c>
      <c r="V943" s="9"/>
      <c r="W943" s="9"/>
      <c r="X943" s="9"/>
      <c r="Y943" s="9"/>
      <c r="Z943" s="9"/>
      <c r="AA943" s="9"/>
      <c r="AB943" s="9"/>
      <c r="AC943" s="9"/>
      <c r="AD943" s="9"/>
      <c r="AE943" s="9"/>
      <c r="AF943" s="9"/>
      <c r="AG943" s="9"/>
      <c r="AH943" s="9"/>
      <c r="AI943" s="9"/>
      <c r="AJ943" s="9"/>
      <c r="AK943" s="9"/>
      <c r="AL943" s="9"/>
      <c r="AM943" s="9"/>
      <c r="AN943" s="9"/>
      <c r="AO943" s="9"/>
      <c r="AP943" s="9"/>
      <c r="AQ943" s="9"/>
      <c r="AR943" s="9"/>
      <c r="AS943" s="9"/>
      <c r="AT943" s="9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  <c r="BO943" s="9"/>
      <c r="BP943" s="9"/>
      <c r="BQ943" s="9"/>
      <c r="BR943" s="9"/>
      <c r="BS943" s="9"/>
      <c r="BT943" s="9"/>
      <c r="BU943" s="9"/>
      <c r="BV943" s="9"/>
      <c r="BW943" s="9"/>
      <c r="BX943" s="9"/>
      <c r="BY943" s="9"/>
      <c r="BZ943" s="9"/>
      <c r="CA943" s="9"/>
      <c r="CB943" s="9"/>
      <c r="CC943" s="9"/>
      <c r="CD943" s="9"/>
      <c r="CE943" s="9"/>
      <c r="CF943" s="9"/>
      <c r="CG943" s="9"/>
      <c r="CH943" s="9"/>
      <c r="CI943" s="9"/>
      <c r="CJ943" s="9"/>
      <c r="CK943" s="9"/>
      <c r="CL943" s="9"/>
      <c r="CM943" s="9"/>
      <c r="CN943" s="9"/>
      <c r="CO943" s="9"/>
      <c r="CP943" s="9"/>
      <c r="CQ943" s="9"/>
      <c r="CR943" s="9"/>
      <c r="CS943" s="9"/>
      <c r="CT943" s="9"/>
      <c r="CU943" s="9"/>
      <c r="CV943" s="9"/>
      <c r="CW943" s="9"/>
      <c r="CX943" s="9"/>
      <c r="CY943" s="9"/>
      <c r="CZ943" s="9"/>
      <c r="DA943" s="9"/>
      <c r="DB943" s="9"/>
      <c r="DC943" s="9"/>
      <c r="DD943" s="9"/>
      <c r="DE943" s="9"/>
      <c r="DF943" s="9"/>
      <c r="DG943" s="9"/>
      <c r="DH943" s="9"/>
      <c r="DI943" s="9"/>
      <c r="DJ943" s="9"/>
      <c r="DK943" s="9"/>
      <c r="DL943" s="9"/>
      <c r="DM943" s="9"/>
      <c r="DN943" s="9"/>
      <c r="DO943" s="9"/>
      <c r="DP943" s="9"/>
      <c r="DQ943" s="9"/>
      <c r="DR943" s="9"/>
      <c r="DS943" s="9"/>
      <c r="DT943" s="9"/>
      <c r="DU943" s="9"/>
      <c r="DV943" s="9"/>
      <c r="DW943" s="9"/>
      <c r="DX943" s="9"/>
      <c r="DY943" s="9"/>
      <c r="DZ943" s="9"/>
      <c r="EA943" s="9"/>
      <c r="EB943" s="9"/>
      <c r="EC943" s="9"/>
      <c r="ED943" s="9"/>
      <c r="EE943" s="9"/>
      <c r="EF943" s="9"/>
      <c r="EG943" s="9"/>
      <c r="EH943" s="9"/>
      <c r="EI943" s="9"/>
      <c r="EJ943" s="9"/>
      <c r="EK943" s="9"/>
      <c r="EL943" s="9"/>
      <c r="EM943" s="9"/>
      <c r="EN943" s="9"/>
      <c r="EO943" s="9"/>
      <c r="EP943" s="9"/>
      <c r="EQ943" s="9"/>
      <c r="ER943" s="9"/>
      <c r="ES943" s="9"/>
      <c r="ET943" s="9"/>
      <c r="EU943" s="9"/>
      <c r="EV943" s="9"/>
      <c r="EW943" s="9"/>
      <c r="EX943" s="9"/>
      <c r="EY943" s="9"/>
      <c r="EZ943" s="9"/>
      <c r="FA943" s="9"/>
      <c r="FB943" s="9"/>
      <c r="FC943" s="9"/>
      <c r="FD943" s="9"/>
      <c r="FE943" s="9"/>
      <c r="FF943" s="9"/>
      <c r="FG943" s="9"/>
      <c r="FH943" s="9"/>
      <c r="FI943" s="9"/>
      <c r="FJ943" s="9"/>
      <c r="FK943" s="9"/>
      <c r="FL943" s="9"/>
      <c r="FM943" s="9"/>
      <c r="FN943" s="9"/>
      <c r="FO943" s="9"/>
      <c r="FP943" s="9"/>
      <c r="FQ943" s="9"/>
      <c r="FR943" s="9"/>
      <c r="FS943" s="9"/>
      <c r="FT943" s="9"/>
      <c r="FU943" s="9"/>
      <c r="FV943" s="9"/>
      <c r="FW943" s="9"/>
      <c r="FX943" s="9"/>
      <c r="FY943" s="9"/>
      <c r="FZ943" s="9"/>
      <c r="GA943" s="9"/>
      <c r="GB943" s="9"/>
      <c r="GC943" s="9"/>
      <c r="GD943" s="9"/>
      <c r="GE943" s="9"/>
      <c r="GF943" s="9"/>
      <c r="GG943" s="9"/>
      <c r="GH943" s="9"/>
      <c r="GI943" s="9"/>
      <c r="GJ943" s="9"/>
      <c r="GK943" s="9"/>
      <c r="GL943" s="9"/>
      <c r="GM943" s="9"/>
      <c r="GN943" s="9"/>
      <c r="GO943" s="9"/>
      <c r="GP943" s="9"/>
      <c r="GQ943" s="9"/>
      <c r="GR943" s="9"/>
      <c r="GS943" s="9"/>
      <c r="GT943" s="9"/>
      <c r="GU943" s="9"/>
      <c r="GV943" s="9"/>
      <c r="GW943" s="9"/>
      <c r="GX943" s="9"/>
      <c r="GY943" s="9"/>
      <c r="GZ943" s="9"/>
      <c r="HA943" s="9"/>
      <c r="HB943" s="9"/>
      <c r="HC943" s="9"/>
      <c r="HD943" s="9"/>
      <c r="HE943" s="9"/>
      <c r="HF943" s="9"/>
      <c r="HG943" s="9"/>
      <c r="HH943" s="9"/>
      <c r="HI943" s="9"/>
      <c r="HJ943" s="9"/>
      <c r="HK943" s="9"/>
      <c r="HL943" s="9"/>
      <c r="HM943" s="9"/>
      <c r="HN943" s="9"/>
      <c r="HO943" s="9"/>
      <c r="HP943" s="9"/>
      <c r="HQ943" s="9"/>
      <c r="HR943" s="9"/>
      <c r="HS943" s="9"/>
      <c r="HT943" s="9"/>
      <c r="HU943" s="9"/>
      <c r="HV943" s="9"/>
      <c r="HW943" s="9"/>
      <c r="HX943" s="9"/>
      <c r="HY943" s="9"/>
      <c r="HZ943" s="9"/>
      <c r="IA943" s="9"/>
      <c r="IB943" s="9"/>
      <c r="IC943" s="9"/>
      <c r="ID943" s="9"/>
      <c r="IE943" s="9"/>
      <c r="IF943" s="9"/>
      <c r="IG943" s="9"/>
      <c r="IH943" s="9"/>
      <c r="II943" s="9"/>
      <c r="IJ943" s="9"/>
      <c r="IK943" s="9"/>
      <c r="IL943" s="9"/>
      <c r="IM943" s="9"/>
      <c r="IN943" s="9"/>
      <c r="IO943" s="9"/>
      <c r="IP943" s="9"/>
      <c r="IQ943" s="9"/>
      <c r="IR943" s="9"/>
      <c r="IS943" s="9"/>
      <c r="IT943" s="9"/>
      <c r="IU943" s="9"/>
      <c r="IV943" s="9"/>
      <c r="IW943" s="9"/>
      <c r="IX943" s="9"/>
    </row>
    <row r="944" spans="1:258" ht="21.95" customHeight="1">
      <c r="A944" s="52" t="s">
        <v>1306</v>
      </c>
      <c r="B944" s="24" t="s">
        <v>806</v>
      </c>
      <c r="C944" s="1">
        <f t="shared" si="270"/>
        <v>3024900</v>
      </c>
      <c r="D944" s="21">
        <f t="shared" si="269"/>
        <v>0</v>
      </c>
      <c r="E944" s="21">
        <v>0</v>
      </c>
      <c r="F944" s="21">
        <v>0</v>
      </c>
      <c r="G944" s="21">
        <v>0</v>
      </c>
      <c r="H944" s="21">
        <v>0</v>
      </c>
      <c r="I944" s="21">
        <v>0</v>
      </c>
      <c r="J944" s="21">
        <v>0</v>
      </c>
      <c r="K944" s="40">
        <v>0</v>
      </c>
      <c r="L944" s="21">
        <v>0</v>
      </c>
      <c r="M944" s="3">
        <v>533</v>
      </c>
      <c r="N944" s="3">
        <v>2824900</v>
      </c>
      <c r="O944" s="21">
        <v>0</v>
      </c>
      <c r="P944" s="21">
        <v>0</v>
      </c>
      <c r="Q944" s="21">
        <v>0</v>
      </c>
      <c r="R944" s="21">
        <v>0</v>
      </c>
      <c r="S944" s="21">
        <v>0</v>
      </c>
      <c r="T944" s="3">
        <v>0</v>
      </c>
      <c r="U944" s="21">
        <v>200000</v>
      </c>
    </row>
    <row r="945" spans="1:258" ht="21.95" customHeight="1">
      <c r="A945" s="52" t="s">
        <v>1307</v>
      </c>
      <c r="B945" s="24" t="s">
        <v>723</v>
      </c>
      <c r="C945" s="1">
        <f t="shared" si="270"/>
        <v>1509100</v>
      </c>
      <c r="D945" s="21">
        <f t="shared" si="269"/>
        <v>0</v>
      </c>
      <c r="E945" s="21">
        <v>0</v>
      </c>
      <c r="F945" s="21">
        <v>0</v>
      </c>
      <c r="G945" s="21">
        <v>0</v>
      </c>
      <c r="H945" s="21">
        <v>0</v>
      </c>
      <c r="I945" s="21">
        <v>0</v>
      </c>
      <c r="J945" s="21">
        <v>0</v>
      </c>
      <c r="K945" s="40">
        <v>0</v>
      </c>
      <c r="L945" s="21">
        <v>0</v>
      </c>
      <c r="M945" s="21">
        <v>247</v>
      </c>
      <c r="N945" s="23">
        <v>1309100</v>
      </c>
      <c r="O945" s="21">
        <v>0</v>
      </c>
      <c r="P945" s="21">
        <v>0</v>
      </c>
      <c r="Q945" s="21">
        <v>0</v>
      </c>
      <c r="R945" s="21">
        <v>0</v>
      </c>
      <c r="S945" s="21">
        <v>0</v>
      </c>
      <c r="T945" s="3">
        <v>0</v>
      </c>
      <c r="U945" s="21">
        <v>200000</v>
      </c>
    </row>
    <row r="946" spans="1:258" ht="21.95" customHeight="1">
      <c r="A946" s="52" t="s">
        <v>1308</v>
      </c>
      <c r="B946" s="24" t="s">
        <v>724</v>
      </c>
      <c r="C946" s="1">
        <f t="shared" si="270"/>
        <v>2855300</v>
      </c>
      <c r="D946" s="21">
        <f t="shared" si="269"/>
        <v>0</v>
      </c>
      <c r="E946" s="21">
        <v>0</v>
      </c>
      <c r="F946" s="21">
        <v>0</v>
      </c>
      <c r="G946" s="21">
        <v>0</v>
      </c>
      <c r="H946" s="21">
        <v>0</v>
      </c>
      <c r="I946" s="21">
        <v>0</v>
      </c>
      <c r="J946" s="21">
        <v>0</v>
      </c>
      <c r="K946" s="40">
        <v>0</v>
      </c>
      <c r="L946" s="21">
        <v>0</v>
      </c>
      <c r="M946" s="21">
        <v>501</v>
      </c>
      <c r="N946" s="23">
        <v>2655300</v>
      </c>
      <c r="O946" s="21">
        <v>0</v>
      </c>
      <c r="P946" s="21">
        <v>0</v>
      </c>
      <c r="Q946" s="21">
        <v>0</v>
      </c>
      <c r="R946" s="21">
        <v>0</v>
      </c>
      <c r="S946" s="21">
        <v>0</v>
      </c>
      <c r="T946" s="3">
        <v>0</v>
      </c>
      <c r="U946" s="21">
        <v>200000</v>
      </c>
    </row>
    <row r="947" spans="1:258" ht="21.95" customHeight="1">
      <c r="A947" s="52" t="s">
        <v>1309</v>
      </c>
      <c r="B947" s="24" t="s">
        <v>725</v>
      </c>
      <c r="C947" s="1">
        <f t="shared" si="270"/>
        <v>2270180</v>
      </c>
      <c r="D947" s="21">
        <f t="shared" si="269"/>
        <v>0</v>
      </c>
      <c r="E947" s="21">
        <v>0</v>
      </c>
      <c r="F947" s="21">
        <v>0</v>
      </c>
      <c r="G947" s="21">
        <v>0</v>
      </c>
      <c r="H947" s="21">
        <v>0</v>
      </c>
      <c r="I947" s="21">
        <v>0</v>
      </c>
      <c r="J947" s="21">
        <v>0</v>
      </c>
      <c r="K947" s="40">
        <v>0</v>
      </c>
      <c r="L947" s="21">
        <v>0</v>
      </c>
      <c r="M947" s="21">
        <v>390.6</v>
      </c>
      <c r="N947" s="23">
        <v>2070180</v>
      </c>
      <c r="O947" s="21">
        <v>0</v>
      </c>
      <c r="P947" s="21">
        <v>0</v>
      </c>
      <c r="Q947" s="3">
        <v>0</v>
      </c>
      <c r="R947" s="3">
        <v>0</v>
      </c>
      <c r="S947" s="21">
        <v>0</v>
      </c>
      <c r="T947" s="3">
        <v>0</v>
      </c>
      <c r="U947" s="21">
        <v>200000</v>
      </c>
    </row>
    <row r="948" spans="1:258" ht="21.95" customHeight="1">
      <c r="A948" s="52" t="s">
        <v>1310</v>
      </c>
      <c r="B948" s="24" t="s">
        <v>726</v>
      </c>
      <c r="C948" s="1">
        <f t="shared" si="270"/>
        <v>2959180</v>
      </c>
      <c r="D948" s="21">
        <f t="shared" si="269"/>
        <v>0</v>
      </c>
      <c r="E948" s="21">
        <v>0</v>
      </c>
      <c r="F948" s="21">
        <v>0</v>
      </c>
      <c r="G948" s="21">
        <v>0</v>
      </c>
      <c r="H948" s="21">
        <v>0</v>
      </c>
      <c r="I948" s="21">
        <v>0</v>
      </c>
      <c r="J948" s="21">
        <v>0</v>
      </c>
      <c r="K948" s="40">
        <v>0</v>
      </c>
      <c r="L948" s="21">
        <v>0</v>
      </c>
      <c r="M948" s="21">
        <v>520.6</v>
      </c>
      <c r="N948" s="23">
        <v>2759180</v>
      </c>
      <c r="O948" s="21">
        <v>0</v>
      </c>
      <c r="P948" s="21">
        <v>0</v>
      </c>
      <c r="Q948" s="3">
        <v>0</v>
      </c>
      <c r="R948" s="3">
        <v>0</v>
      </c>
      <c r="S948" s="21">
        <v>0</v>
      </c>
      <c r="T948" s="3">
        <v>0</v>
      </c>
      <c r="U948" s="21">
        <v>200000</v>
      </c>
    </row>
    <row r="949" spans="1:258" ht="21.95" customHeight="1">
      <c r="A949" s="52" t="s">
        <v>1311</v>
      </c>
      <c r="B949" s="24" t="s">
        <v>727</v>
      </c>
      <c r="C949" s="1">
        <f t="shared" si="270"/>
        <v>1752900</v>
      </c>
      <c r="D949" s="21">
        <f t="shared" si="269"/>
        <v>0</v>
      </c>
      <c r="E949" s="21">
        <v>0</v>
      </c>
      <c r="F949" s="21">
        <v>0</v>
      </c>
      <c r="G949" s="21">
        <v>0</v>
      </c>
      <c r="H949" s="21">
        <v>0</v>
      </c>
      <c r="I949" s="21">
        <v>0</v>
      </c>
      <c r="J949" s="21">
        <v>0</v>
      </c>
      <c r="K949" s="40">
        <v>0</v>
      </c>
      <c r="L949" s="21">
        <v>0</v>
      </c>
      <c r="M949" s="21">
        <v>293</v>
      </c>
      <c r="N949" s="23">
        <v>1552900</v>
      </c>
      <c r="O949" s="21">
        <v>0</v>
      </c>
      <c r="P949" s="21">
        <v>0</v>
      </c>
      <c r="Q949" s="3">
        <v>0</v>
      </c>
      <c r="R949" s="3">
        <v>0</v>
      </c>
      <c r="S949" s="21">
        <v>0</v>
      </c>
      <c r="T949" s="3">
        <v>0</v>
      </c>
      <c r="U949" s="21">
        <v>200000</v>
      </c>
    </row>
    <row r="950" spans="1:258" ht="21.95" customHeight="1">
      <c r="A950" s="52" t="s">
        <v>1312</v>
      </c>
      <c r="B950" s="30" t="s">
        <v>848</v>
      </c>
      <c r="C950" s="1">
        <f t="shared" si="270"/>
        <v>5512690</v>
      </c>
      <c r="D950" s="21">
        <f t="shared" si="269"/>
        <v>1313400</v>
      </c>
      <c r="E950" s="21">
        <f>350*547.25</f>
        <v>191537.5</v>
      </c>
      <c r="F950" s="21">
        <f>800*547.25</f>
        <v>437800</v>
      </c>
      <c r="G950" s="21">
        <f>350*547.25</f>
        <v>191537.5</v>
      </c>
      <c r="H950" s="21">
        <f>500*547.25</f>
        <v>273625</v>
      </c>
      <c r="I950" s="21">
        <f>400*547.25</f>
        <v>218900</v>
      </c>
      <c r="J950" s="21">
        <v>0</v>
      </c>
      <c r="K950" s="40">
        <v>0</v>
      </c>
      <c r="L950" s="21">
        <v>0</v>
      </c>
      <c r="M950" s="3">
        <v>493.1</v>
      </c>
      <c r="N950" s="3">
        <v>2613430</v>
      </c>
      <c r="O950" s="21">
        <v>0</v>
      </c>
      <c r="P950" s="21">
        <v>0</v>
      </c>
      <c r="Q950" s="21">
        <v>532</v>
      </c>
      <c r="R950" s="21">
        <v>1385860</v>
      </c>
      <c r="S950" s="21">
        <v>0</v>
      </c>
      <c r="T950" s="3">
        <v>0</v>
      </c>
      <c r="U950" s="21">
        <v>200000</v>
      </c>
    </row>
    <row r="951" spans="1:258" ht="21.95" customHeight="1">
      <c r="A951" s="52" t="s">
        <v>1313</v>
      </c>
      <c r="B951" s="24" t="s">
        <v>808</v>
      </c>
      <c r="C951" s="1">
        <f t="shared" si="270"/>
        <v>1816500</v>
      </c>
      <c r="D951" s="21">
        <f t="shared" si="269"/>
        <v>0</v>
      </c>
      <c r="E951" s="21">
        <v>0</v>
      </c>
      <c r="F951" s="21">
        <v>0</v>
      </c>
      <c r="G951" s="21">
        <v>0</v>
      </c>
      <c r="H951" s="21">
        <v>0</v>
      </c>
      <c r="I951" s="21">
        <v>0</v>
      </c>
      <c r="J951" s="21">
        <v>0</v>
      </c>
      <c r="K951" s="40">
        <v>0</v>
      </c>
      <c r="L951" s="21">
        <v>0</v>
      </c>
      <c r="M951" s="21">
        <v>305</v>
      </c>
      <c r="N951" s="3">
        <v>1616500</v>
      </c>
      <c r="O951" s="21">
        <v>0</v>
      </c>
      <c r="P951" s="21">
        <v>0</v>
      </c>
      <c r="Q951" s="3">
        <v>0</v>
      </c>
      <c r="R951" s="3">
        <v>0</v>
      </c>
      <c r="S951" s="21">
        <v>0</v>
      </c>
      <c r="T951" s="3">
        <v>0</v>
      </c>
      <c r="U951" s="21">
        <v>200000</v>
      </c>
    </row>
    <row r="952" spans="1:258" ht="21.95" customHeight="1">
      <c r="A952" s="52" t="s">
        <v>1314</v>
      </c>
      <c r="B952" s="24" t="s">
        <v>809</v>
      </c>
      <c r="C952" s="1">
        <f t="shared" si="270"/>
        <v>1564220</v>
      </c>
      <c r="D952" s="21">
        <f t="shared" si="269"/>
        <v>0</v>
      </c>
      <c r="E952" s="21">
        <v>0</v>
      </c>
      <c r="F952" s="21">
        <v>0</v>
      </c>
      <c r="G952" s="21">
        <v>0</v>
      </c>
      <c r="H952" s="21">
        <v>0</v>
      </c>
      <c r="I952" s="21">
        <v>0</v>
      </c>
      <c r="J952" s="21">
        <v>0</v>
      </c>
      <c r="K952" s="40">
        <v>0</v>
      </c>
      <c r="L952" s="21">
        <v>0</v>
      </c>
      <c r="M952" s="21">
        <v>257.39999999999998</v>
      </c>
      <c r="N952" s="3">
        <v>1364220</v>
      </c>
      <c r="O952" s="21">
        <v>0</v>
      </c>
      <c r="P952" s="21">
        <v>0</v>
      </c>
      <c r="Q952" s="3">
        <v>0</v>
      </c>
      <c r="R952" s="3">
        <v>0</v>
      </c>
      <c r="S952" s="21">
        <v>0</v>
      </c>
      <c r="T952" s="3">
        <v>0</v>
      </c>
      <c r="U952" s="21">
        <v>200000</v>
      </c>
    </row>
    <row r="953" spans="1:258" ht="21.95" customHeight="1">
      <c r="A953" s="52" t="s">
        <v>1315</v>
      </c>
      <c r="B953" s="24" t="s">
        <v>810</v>
      </c>
      <c r="C953" s="1">
        <f t="shared" si="270"/>
        <v>22025680</v>
      </c>
      <c r="D953" s="21">
        <f t="shared" si="269"/>
        <v>18608160</v>
      </c>
      <c r="E953" s="21">
        <f>350*7753.4</f>
        <v>2713690</v>
      </c>
      <c r="F953" s="21">
        <f>800*7753.4</f>
        <v>6202720</v>
      </c>
      <c r="G953" s="21">
        <f>350*7753.4</f>
        <v>2713690</v>
      </c>
      <c r="H953" s="21">
        <f>500*7753.4</f>
        <v>3876700</v>
      </c>
      <c r="I953" s="21">
        <f>400*7753.4</f>
        <v>3101360</v>
      </c>
      <c r="J953" s="21">
        <v>0</v>
      </c>
      <c r="K953" s="40">
        <v>0</v>
      </c>
      <c r="L953" s="21">
        <v>0</v>
      </c>
      <c r="M953" s="21">
        <v>438</v>
      </c>
      <c r="N953" s="3">
        <v>2321400</v>
      </c>
      <c r="O953" s="21">
        <v>0</v>
      </c>
      <c r="P953" s="21">
        <v>0</v>
      </c>
      <c r="Q953" s="21">
        <v>344</v>
      </c>
      <c r="R953" s="21">
        <v>896120</v>
      </c>
      <c r="S953" s="21">
        <v>0</v>
      </c>
      <c r="T953" s="3">
        <v>0</v>
      </c>
      <c r="U953" s="21">
        <v>200000</v>
      </c>
    </row>
    <row r="954" spans="1:258" s="10" customFormat="1" ht="21.95" customHeight="1">
      <c r="A954" s="52" t="s">
        <v>1316</v>
      </c>
      <c r="B954" s="24" t="s">
        <v>728</v>
      </c>
      <c r="C954" s="1">
        <f t="shared" si="270"/>
        <v>1566870</v>
      </c>
      <c r="D954" s="21">
        <f t="shared" si="269"/>
        <v>0</v>
      </c>
      <c r="E954" s="21">
        <v>0</v>
      </c>
      <c r="F954" s="21">
        <v>0</v>
      </c>
      <c r="G954" s="21">
        <v>0</v>
      </c>
      <c r="H954" s="21">
        <v>0</v>
      </c>
      <c r="I954" s="21">
        <v>0</v>
      </c>
      <c r="J954" s="21">
        <v>0</v>
      </c>
      <c r="K954" s="40">
        <v>0</v>
      </c>
      <c r="L954" s="21">
        <v>0</v>
      </c>
      <c r="M954" s="21">
        <v>257.89999999999998</v>
      </c>
      <c r="N954" s="23">
        <v>1366870</v>
      </c>
      <c r="O954" s="21">
        <v>0</v>
      </c>
      <c r="P954" s="21">
        <v>0</v>
      </c>
      <c r="Q954" s="3">
        <v>0</v>
      </c>
      <c r="R954" s="3">
        <v>0</v>
      </c>
      <c r="S954" s="21">
        <v>0</v>
      </c>
      <c r="T954" s="3">
        <v>0</v>
      </c>
      <c r="U954" s="21">
        <v>200000</v>
      </c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  <c r="FE954" s="2"/>
      <c r="FF954" s="2"/>
      <c r="FG954" s="2"/>
      <c r="FH954" s="2"/>
      <c r="FI954" s="2"/>
      <c r="FJ954" s="2"/>
      <c r="FK954" s="2"/>
      <c r="FL954" s="2"/>
      <c r="FM954" s="2"/>
      <c r="FN954" s="2"/>
      <c r="FO954" s="2"/>
      <c r="FP954" s="2"/>
      <c r="FQ954" s="2"/>
      <c r="FR954" s="2"/>
      <c r="FS954" s="2"/>
      <c r="FT954" s="2"/>
      <c r="FU954" s="2"/>
      <c r="FV954" s="2"/>
      <c r="FW954" s="2"/>
      <c r="FX954" s="2"/>
      <c r="FY954" s="2"/>
      <c r="FZ954" s="2"/>
      <c r="GA954" s="2"/>
      <c r="GB954" s="2"/>
      <c r="GC954" s="2"/>
      <c r="GD954" s="2"/>
      <c r="GE954" s="2"/>
      <c r="GF954" s="2"/>
      <c r="GG954" s="2"/>
      <c r="GH954" s="2"/>
      <c r="GI954" s="2"/>
      <c r="GJ954" s="2"/>
      <c r="GK954" s="2"/>
      <c r="GL954" s="2"/>
      <c r="GM954" s="2"/>
      <c r="GN954" s="2"/>
      <c r="GO954" s="2"/>
      <c r="GP954" s="2"/>
      <c r="GQ954" s="2"/>
      <c r="GR954" s="2"/>
      <c r="GS954" s="2"/>
      <c r="GT954" s="2"/>
      <c r="GU954" s="2"/>
      <c r="GV954" s="2"/>
      <c r="GW954" s="2"/>
      <c r="GX954" s="2"/>
      <c r="GY954" s="2"/>
      <c r="GZ954" s="2"/>
      <c r="HA954" s="2"/>
      <c r="HB954" s="2"/>
      <c r="HC954" s="2"/>
      <c r="HD954" s="2"/>
      <c r="HE954" s="2"/>
      <c r="HF954" s="2"/>
      <c r="HG954" s="2"/>
      <c r="HH954" s="2"/>
      <c r="HI954" s="2"/>
      <c r="HJ954" s="2"/>
      <c r="HK954" s="2"/>
      <c r="HL954" s="2"/>
      <c r="HM954" s="2"/>
      <c r="HN954" s="2"/>
      <c r="HO954" s="2"/>
      <c r="HP954" s="2"/>
      <c r="HQ954" s="2"/>
      <c r="HR954" s="2"/>
      <c r="HS954" s="2"/>
      <c r="HT954" s="2"/>
      <c r="HU954" s="2"/>
      <c r="HV954" s="2"/>
      <c r="HW954" s="2"/>
      <c r="HX954" s="2"/>
      <c r="HY954" s="2"/>
      <c r="HZ954" s="2"/>
      <c r="IA954" s="2"/>
      <c r="IB954" s="2"/>
      <c r="IC954" s="2"/>
      <c r="ID954" s="2"/>
      <c r="IE954" s="2"/>
      <c r="IF954" s="2"/>
      <c r="IG954" s="2"/>
      <c r="IH954" s="2"/>
      <c r="II954" s="2"/>
      <c r="IJ954" s="2"/>
      <c r="IK954" s="2"/>
      <c r="IL954" s="2"/>
      <c r="IM954" s="2"/>
      <c r="IN954" s="2"/>
      <c r="IO954" s="2"/>
      <c r="IP954" s="2"/>
      <c r="IQ954" s="2"/>
      <c r="IR954" s="2"/>
      <c r="IS954" s="2"/>
      <c r="IT954" s="2"/>
      <c r="IU954" s="2"/>
      <c r="IV954" s="2"/>
      <c r="IW954" s="2"/>
      <c r="IX954" s="2"/>
    </row>
    <row r="955" spans="1:258" ht="21.95" customHeight="1">
      <c r="A955" s="52" t="s">
        <v>1317</v>
      </c>
      <c r="B955" s="24" t="s">
        <v>729</v>
      </c>
      <c r="C955" s="1">
        <f t="shared" si="270"/>
        <v>1556800</v>
      </c>
      <c r="D955" s="21">
        <f t="shared" si="269"/>
        <v>0</v>
      </c>
      <c r="E955" s="21">
        <v>0</v>
      </c>
      <c r="F955" s="21">
        <v>0</v>
      </c>
      <c r="G955" s="21">
        <v>0</v>
      </c>
      <c r="H955" s="21">
        <v>0</v>
      </c>
      <c r="I955" s="21">
        <v>0</v>
      </c>
      <c r="J955" s="21">
        <v>0</v>
      </c>
      <c r="K955" s="40">
        <v>0</v>
      </c>
      <c r="L955" s="21">
        <v>0</v>
      </c>
      <c r="M955" s="21">
        <v>256</v>
      </c>
      <c r="N955" s="23">
        <v>1356800</v>
      </c>
      <c r="O955" s="21">
        <v>0</v>
      </c>
      <c r="P955" s="21">
        <v>0</v>
      </c>
      <c r="Q955" s="3">
        <v>0</v>
      </c>
      <c r="R955" s="3">
        <v>0</v>
      </c>
      <c r="S955" s="21">
        <v>0</v>
      </c>
      <c r="T955" s="3">
        <v>0</v>
      </c>
      <c r="U955" s="21">
        <v>200000</v>
      </c>
    </row>
    <row r="956" spans="1:258" ht="21.95" customHeight="1">
      <c r="A956" s="52" t="s">
        <v>1318</v>
      </c>
      <c r="B956" s="30" t="s">
        <v>811</v>
      </c>
      <c r="C956" s="1">
        <f t="shared" si="270"/>
        <v>2797000</v>
      </c>
      <c r="D956" s="21">
        <f t="shared" si="269"/>
        <v>0</v>
      </c>
      <c r="E956" s="21">
        <v>0</v>
      </c>
      <c r="F956" s="21">
        <v>0</v>
      </c>
      <c r="G956" s="21">
        <v>0</v>
      </c>
      <c r="H956" s="21">
        <v>0</v>
      </c>
      <c r="I956" s="21">
        <v>0</v>
      </c>
      <c r="J956" s="21">
        <v>0</v>
      </c>
      <c r="K956" s="40">
        <v>0</v>
      </c>
      <c r="L956" s="21">
        <v>0</v>
      </c>
      <c r="M956" s="21">
        <v>490</v>
      </c>
      <c r="N956" s="3">
        <v>2597000</v>
      </c>
      <c r="O956" s="21">
        <v>0</v>
      </c>
      <c r="P956" s="21">
        <v>0</v>
      </c>
      <c r="Q956" s="3">
        <v>0</v>
      </c>
      <c r="R956" s="3">
        <v>0</v>
      </c>
      <c r="S956" s="21">
        <v>0</v>
      </c>
      <c r="T956" s="3">
        <v>0</v>
      </c>
      <c r="U956" s="21">
        <v>200000</v>
      </c>
    </row>
    <row r="957" spans="1:258" ht="21.95" customHeight="1">
      <c r="A957" s="52" t="s">
        <v>1319</v>
      </c>
      <c r="B957" s="24" t="s">
        <v>730</v>
      </c>
      <c r="C957" s="1">
        <f t="shared" si="270"/>
        <v>2976670</v>
      </c>
      <c r="D957" s="21">
        <f t="shared" si="269"/>
        <v>0</v>
      </c>
      <c r="E957" s="21">
        <v>0</v>
      </c>
      <c r="F957" s="21">
        <v>0</v>
      </c>
      <c r="G957" s="21">
        <v>0</v>
      </c>
      <c r="H957" s="21">
        <v>0</v>
      </c>
      <c r="I957" s="21">
        <v>0</v>
      </c>
      <c r="J957" s="21">
        <v>0</v>
      </c>
      <c r="K957" s="40">
        <v>0</v>
      </c>
      <c r="L957" s="21">
        <v>0</v>
      </c>
      <c r="M957" s="21">
        <v>523.9</v>
      </c>
      <c r="N957" s="23">
        <v>2776670</v>
      </c>
      <c r="O957" s="21">
        <v>0</v>
      </c>
      <c r="P957" s="21">
        <v>0</v>
      </c>
      <c r="Q957" s="3">
        <v>0</v>
      </c>
      <c r="R957" s="3">
        <v>0</v>
      </c>
      <c r="S957" s="21">
        <v>0</v>
      </c>
      <c r="T957" s="3">
        <v>0</v>
      </c>
      <c r="U957" s="21">
        <v>200000</v>
      </c>
    </row>
    <row r="958" spans="1:258" ht="21.95" customHeight="1">
      <c r="A958" s="52" t="s">
        <v>1320</v>
      </c>
      <c r="B958" s="24" t="s">
        <v>812</v>
      </c>
      <c r="C958" s="1">
        <f t="shared" si="270"/>
        <v>3226300</v>
      </c>
      <c r="D958" s="21">
        <f t="shared" si="269"/>
        <v>0</v>
      </c>
      <c r="E958" s="21">
        <v>0</v>
      </c>
      <c r="F958" s="21">
        <v>0</v>
      </c>
      <c r="G958" s="21">
        <v>0</v>
      </c>
      <c r="H958" s="21">
        <v>0</v>
      </c>
      <c r="I958" s="21">
        <v>0</v>
      </c>
      <c r="J958" s="21">
        <v>0</v>
      </c>
      <c r="K958" s="40">
        <v>0</v>
      </c>
      <c r="L958" s="21">
        <v>0</v>
      </c>
      <c r="M958" s="21">
        <v>571</v>
      </c>
      <c r="N958" s="21">
        <v>3026300</v>
      </c>
      <c r="O958" s="21">
        <v>0</v>
      </c>
      <c r="P958" s="21">
        <v>0</v>
      </c>
      <c r="Q958" s="3">
        <v>0</v>
      </c>
      <c r="R958" s="3">
        <v>0</v>
      </c>
      <c r="S958" s="21">
        <v>0</v>
      </c>
      <c r="T958" s="3">
        <v>0</v>
      </c>
      <c r="U958" s="21">
        <v>200000</v>
      </c>
    </row>
    <row r="959" spans="1:258" s="6" customFormat="1" ht="21.95" customHeight="1">
      <c r="A959" s="52" t="s">
        <v>1501</v>
      </c>
      <c r="B959" s="24" t="s">
        <v>731</v>
      </c>
      <c r="C959" s="1">
        <f t="shared" si="270"/>
        <v>2844170</v>
      </c>
      <c r="D959" s="21">
        <f t="shared" si="269"/>
        <v>0</v>
      </c>
      <c r="E959" s="21">
        <v>0</v>
      </c>
      <c r="F959" s="21">
        <v>0</v>
      </c>
      <c r="G959" s="21">
        <v>0</v>
      </c>
      <c r="H959" s="21">
        <v>0</v>
      </c>
      <c r="I959" s="21">
        <v>0</v>
      </c>
      <c r="J959" s="21">
        <v>0</v>
      </c>
      <c r="K959" s="40">
        <v>0</v>
      </c>
      <c r="L959" s="21">
        <v>0</v>
      </c>
      <c r="M959" s="21">
        <v>498.9</v>
      </c>
      <c r="N959" s="23">
        <v>2644170</v>
      </c>
      <c r="O959" s="21">
        <v>0</v>
      </c>
      <c r="P959" s="21">
        <v>0</v>
      </c>
      <c r="Q959" s="3">
        <v>0</v>
      </c>
      <c r="R959" s="3">
        <v>0</v>
      </c>
      <c r="S959" s="21">
        <v>0</v>
      </c>
      <c r="T959" s="3">
        <v>0</v>
      </c>
      <c r="U959" s="21">
        <v>200000</v>
      </c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  <c r="FE959" s="2"/>
      <c r="FF959" s="2"/>
      <c r="FG959" s="2"/>
      <c r="FH959" s="2"/>
      <c r="FI959" s="2"/>
      <c r="FJ959" s="2"/>
      <c r="FK959" s="2"/>
      <c r="FL959" s="2"/>
      <c r="FM959" s="2"/>
      <c r="FN959" s="2"/>
      <c r="FO959" s="2"/>
      <c r="FP959" s="2"/>
      <c r="FQ959" s="2"/>
      <c r="FR959" s="2"/>
      <c r="FS959" s="2"/>
      <c r="FT959" s="2"/>
      <c r="FU959" s="2"/>
      <c r="FV959" s="2"/>
      <c r="FW959" s="2"/>
      <c r="FX959" s="2"/>
      <c r="FY959" s="2"/>
      <c r="FZ959" s="2"/>
      <c r="GA959" s="2"/>
      <c r="GB959" s="2"/>
      <c r="GC959" s="2"/>
      <c r="GD959" s="2"/>
      <c r="GE959" s="2"/>
      <c r="GF959" s="2"/>
      <c r="GG959" s="2"/>
      <c r="GH959" s="2"/>
      <c r="GI959" s="2"/>
      <c r="GJ959" s="2"/>
      <c r="GK959" s="2"/>
      <c r="GL959" s="2"/>
      <c r="GM959" s="2"/>
      <c r="GN959" s="2"/>
      <c r="GO959" s="2"/>
      <c r="GP959" s="2"/>
      <c r="GQ959" s="2"/>
      <c r="GR959" s="2"/>
      <c r="GS959" s="2"/>
      <c r="GT959" s="2"/>
      <c r="GU959" s="2"/>
      <c r="GV959" s="2"/>
      <c r="GW959" s="2"/>
      <c r="GX959" s="2"/>
      <c r="GY959" s="2"/>
      <c r="GZ959" s="2"/>
      <c r="HA959" s="2"/>
      <c r="HB959" s="2"/>
      <c r="HC959" s="2"/>
      <c r="HD959" s="2"/>
      <c r="HE959" s="2"/>
      <c r="HF959" s="2"/>
      <c r="HG959" s="2"/>
      <c r="HH959" s="2"/>
      <c r="HI959" s="2"/>
      <c r="HJ959" s="2"/>
      <c r="HK959" s="2"/>
      <c r="HL959" s="2"/>
      <c r="HM959" s="2"/>
      <c r="HN959" s="2"/>
      <c r="HO959" s="2"/>
      <c r="HP959" s="2"/>
      <c r="HQ959" s="2"/>
      <c r="HR959" s="2"/>
      <c r="HS959" s="2"/>
      <c r="HT959" s="2"/>
      <c r="HU959" s="2"/>
      <c r="HV959" s="2"/>
      <c r="HW959" s="2"/>
      <c r="HX959" s="2"/>
      <c r="HY959" s="2"/>
      <c r="HZ959" s="2"/>
      <c r="IA959" s="2"/>
      <c r="IB959" s="2"/>
      <c r="IC959" s="2"/>
      <c r="ID959" s="2"/>
      <c r="IE959" s="2"/>
      <c r="IF959" s="2"/>
      <c r="IG959" s="2"/>
      <c r="IH959" s="2"/>
      <c r="II959" s="2"/>
      <c r="IJ959" s="2"/>
      <c r="IK959" s="2"/>
      <c r="IL959" s="2"/>
      <c r="IM959" s="2"/>
      <c r="IN959" s="2"/>
      <c r="IO959" s="2"/>
      <c r="IP959" s="2"/>
      <c r="IQ959" s="2"/>
      <c r="IR959" s="2"/>
      <c r="IS959" s="2"/>
      <c r="IT959" s="2"/>
      <c r="IU959" s="2"/>
      <c r="IV959" s="2"/>
      <c r="IW959" s="2"/>
      <c r="IX959" s="2"/>
    </row>
    <row r="960" spans="1:258" ht="21.95" customHeight="1">
      <c r="A960" s="52" t="s">
        <v>1321</v>
      </c>
      <c r="B960" s="24" t="s">
        <v>732</v>
      </c>
      <c r="C960" s="1">
        <f t="shared" si="270"/>
        <v>2844170</v>
      </c>
      <c r="D960" s="21">
        <f t="shared" si="269"/>
        <v>0</v>
      </c>
      <c r="E960" s="21">
        <v>0</v>
      </c>
      <c r="F960" s="21">
        <v>0</v>
      </c>
      <c r="G960" s="21">
        <v>0</v>
      </c>
      <c r="H960" s="21">
        <v>0</v>
      </c>
      <c r="I960" s="21">
        <v>0</v>
      </c>
      <c r="J960" s="21">
        <v>0</v>
      </c>
      <c r="K960" s="40">
        <v>0</v>
      </c>
      <c r="L960" s="21">
        <v>0</v>
      </c>
      <c r="M960" s="21">
        <v>498.9</v>
      </c>
      <c r="N960" s="23">
        <v>2644170</v>
      </c>
      <c r="O960" s="21">
        <v>0</v>
      </c>
      <c r="P960" s="21">
        <v>0</v>
      </c>
      <c r="Q960" s="3">
        <v>0</v>
      </c>
      <c r="R960" s="3">
        <v>0</v>
      </c>
      <c r="S960" s="21">
        <v>0</v>
      </c>
      <c r="T960" s="3">
        <v>0</v>
      </c>
      <c r="U960" s="21">
        <v>200000</v>
      </c>
    </row>
    <row r="961" spans="1:258" ht="21.95" customHeight="1">
      <c r="A961" s="52" t="s">
        <v>1324</v>
      </c>
      <c r="B961" s="24" t="s">
        <v>813</v>
      </c>
      <c r="C961" s="1">
        <f t="shared" si="270"/>
        <v>5712000</v>
      </c>
      <c r="D961" s="21">
        <f t="shared" si="269"/>
        <v>0</v>
      </c>
      <c r="E961" s="21">
        <v>0</v>
      </c>
      <c r="F961" s="21">
        <v>0</v>
      </c>
      <c r="G961" s="21">
        <v>0</v>
      </c>
      <c r="H961" s="21">
        <v>0</v>
      </c>
      <c r="I961" s="21">
        <v>0</v>
      </c>
      <c r="J961" s="21">
        <v>0</v>
      </c>
      <c r="K961" s="40">
        <v>0</v>
      </c>
      <c r="L961" s="21">
        <v>0</v>
      </c>
      <c r="M961" s="21">
        <v>1040</v>
      </c>
      <c r="N961" s="21">
        <v>5512000</v>
      </c>
      <c r="O961" s="21">
        <v>0</v>
      </c>
      <c r="P961" s="21">
        <v>0</v>
      </c>
      <c r="Q961" s="3">
        <v>0</v>
      </c>
      <c r="R961" s="3">
        <v>0</v>
      </c>
      <c r="S961" s="21">
        <v>0</v>
      </c>
      <c r="T961" s="3">
        <v>0</v>
      </c>
      <c r="U961" s="21">
        <v>200000</v>
      </c>
    </row>
    <row r="962" spans="1:258" ht="21.95" customHeight="1">
      <c r="A962" s="52" t="s">
        <v>1502</v>
      </c>
      <c r="B962" s="30" t="s">
        <v>814</v>
      </c>
      <c r="C962" s="1">
        <f t="shared" si="270"/>
        <v>3671500</v>
      </c>
      <c r="D962" s="21">
        <f t="shared" si="269"/>
        <v>0</v>
      </c>
      <c r="E962" s="21">
        <v>0</v>
      </c>
      <c r="F962" s="21">
        <v>0</v>
      </c>
      <c r="G962" s="21">
        <v>0</v>
      </c>
      <c r="H962" s="21">
        <v>0</v>
      </c>
      <c r="I962" s="21">
        <v>0</v>
      </c>
      <c r="J962" s="21">
        <v>0</v>
      </c>
      <c r="K962" s="40">
        <v>0</v>
      </c>
      <c r="L962" s="21">
        <v>0</v>
      </c>
      <c r="M962" s="3">
        <v>655</v>
      </c>
      <c r="N962" s="21">
        <v>3471500</v>
      </c>
      <c r="O962" s="21">
        <v>0</v>
      </c>
      <c r="P962" s="21">
        <v>0</v>
      </c>
      <c r="Q962" s="3">
        <v>0</v>
      </c>
      <c r="R962" s="3">
        <v>0</v>
      </c>
      <c r="S962" s="21">
        <v>0</v>
      </c>
      <c r="T962" s="3">
        <v>0</v>
      </c>
      <c r="U962" s="21">
        <v>200000</v>
      </c>
    </row>
    <row r="963" spans="1:258" ht="21.95" customHeight="1">
      <c r="A963" s="52" t="s">
        <v>1503</v>
      </c>
      <c r="B963" s="30" t="s">
        <v>815</v>
      </c>
      <c r="C963" s="1">
        <f t="shared" si="270"/>
        <v>3448900</v>
      </c>
      <c r="D963" s="21">
        <f t="shared" ref="D963:D1026" si="271">SUM(E963:J963)</f>
        <v>0</v>
      </c>
      <c r="E963" s="21">
        <v>0</v>
      </c>
      <c r="F963" s="21">
        <v>0</v>
      </c>
      <c r="G963" s="21">
        <v>0</v>
      </c>
      <c r="H963" s="21">
        <v>0</v>
      </c>
      <c r="I963" s="21">
        <v>0</v>
      </c>
      <c r="J963" s="21">
        <v>0</v>
      </c>
      <c r="K963" s="40">
        <v>0</v>
      </c>
      <c r="L963" s="21">
        <v>0</v>
      </c>
      <c r="M963" s="3">
        <v>613</v>
      </c>
      <c r="N963" s="3">
        <v>3248900</v>
      </c>
      <c r="O963" s="21">
        <v>0</v>
      </c>
      <c r="P963" s="21">
        <v>0</v>
      </c>
      <c r="Q963" s="3">
        <v>0</v>
      </c>
      <c r="R963" s="3">
        <v>0</v>
      </c>
      <c r="S963" s="21">
        <v>0</v>
      </c>
      <c r="T963" s="3">
        <v>0</v>
      </c>
      <c r="U963" s="21">
        <v>200000</v>
      </c>
    </row>
    <row r="964" spans="1:258" ht="21.95" customHeight="1">
      <c r="A964" s="52" t="s">
        <v>1504</v>
      </c>
      <c r="B964" s="35" t="s">
        <v>1340</v>
      </c>
      <c r="C964" s="1">
        <f t="shared" si="270"/>
        <v>8659323.75</v>
      </c>
      <c r="D964" s="21">
        <f t="shared" si="271"/>
        <v>0</v>
      </c>
      <c r="E964" s="21">
        <v>0</v>
      </c>
      <c r="F964" s="21">
        <v>0</v>
      </c>
      <c r="G964" s="21">
        <v>0</v>
      </c>
      <c r="H964" s="21">
        <v>0</v>
      </c>
      <c r="I964" s="21">
        <v>0</v>
      </c>
      <c r="J964" s="21">
        <v>0</v>
      </c>
      <c r="K964" s="40">
        <v>0</v>
      </c>
      <c r="L964" s="21">
        <v>0</v>
      </c>
      <c r="M964" s="21">
        <v>960.7</v>
      </c>
      <c r="N964" s="21">
        <f>M964*5300</f>
        <v>5091710</v>
      </c>
      <c r="O964" s="21">
        <v>0</v>
      </c>
      <c r="P964" s="21">
        <v>0</v>
      </c>
      <c r="Q964" s="21">
        <v>1292.75</v>
      </c>
      <c r="R964" s="3">
        <f>Q964*2605</f>
        <v>3367613.75</v>
      </c>
      <c r="S964" s="21">
        <v>0</v>
      </c>
      <c r="T964" s="3">
        <v>0</v>
      </c>
      <c r="U964" s="21">
        <v>200000</v>
      </c>
    </row>
    <row r="965" spans="1:258" ht="21.95" customHeight="1">
      <c r="A965" s="52" t="s">
        <v>1505</v>
      </c>
      <c r="B965" s="24" t="s">
        <v>733</v>
      </c>
      <c r="C965" s="1">
        <f t="shared" si="270"/>
        <v>1689300</v>
      </c>
      <c r="D965" s="21">
        <f t="shared" si="271"/>
        <v>0</v>
      </c>
      <c r="E965" s="21">
        <v>0</v>
      </c>
      <c r="F965" s="21">
        <v>0</v>
      </c>
      <c r="G965" s="21">
        <v>0</v>
      </c>
      <c r="H965" s="21">
        <v>0</v>
      </c>
      <c r="I965" s="21">
        <v>0</v>
      </c>
      <c r="J965" s="21">
        <v>0</v>
      </c>
      <c r="K965" s="40">
        <v>0</v>
      </c>
      <c r="L965" s="21">
        <v>0</v>
      </c>
      <c r="M965" s="21">
        <v>281</v>
      </c>
      <c r="N965" s="21">
        <v>1489300</v>
      </c>
      <c r="O965" s="21">
        <v>0</v>
      </c>
      <c r="P965" s="21">
        <v>0</v>
      </c>
      <c r="Q965" s="3">
        <v>0</v>
      </c>
      <c r="R965" s="3">
        <v>0</v>
      </c>
      <c r="S965" s="21">
        <v>0</v>
      </c>
      <c r="T965" s="3">
        <v>0</v>
      </c>
      <c r="U965" s="21">
        <v>200000</v>
      </c>
    </row>
    <row r="966" spans="1:258" ht="21.95" customHeight="1">
      <c r="A966" s="52" t="s">
        <v>1506</v>
      </c>
      <c r="B966" s="30" t="s">
        <v>734</v>
      </c>
      <c r="C966" s="1">
        <f t="shared" ref="C966:C1029" si="272">D966+L966+N966+P966+R966+S966+T966+U966</f>
        <v>5937780</v>
      </c>
      <c r="D966" s="21">
        <f t="shared" si="271"/>
        <v>0</v>
      </c>
      <c r="E966" s="21">
        <v>0</v>
      </c>
      <c r="F966" s="21">
        <v>0</v>
      </c>
      <c r="G966" s="21">
        <v>0</v>
      </c>
      <c r="H966" s="21">
        <v>0</v>
      </c>
      <c r="I966" s="21">
        <v>0</v>
      </c>
      <c r="J966" s="21">
        <v>0</v>
      </c>
      <c r="K966" s="40">
        <v>0</v>
      </c>
      <c r="L966" s="21">
        <v>0</v>
      </c>
      <c r="M966" s="3">
        <v>1082.5999999999999</v>
      </c>
      <c r="N966" s="3">
        <v>5737780</v>
      </c>
      <c r="O966" s="21">
        <v>0</v>
      </c>
      <c r="P966" s="21">
        <v>0</v>
      </c>
      <c r="Q966" s="3">
        <v>0</v>
      </c>
      <c r="R966" s="3">
        <v>0</v>
      </c>
      <c r="S966" s="21">
        <v>0</v>
      </c>
      <c r="T966" s="3">
        <v>0</v>
      </c>
      <c r="U966" s="21">
        <v>200000</v>
      </c>
    </row>
    <row r="967" spans="1:258" s="9" customFormat="1" ht="21.95" customHeight="1">
      <c r="A967" s="52" t="s">
        <v>1507</v>
      </c>
      <c r="B967" s="24" t="s">
        <v>816</v>
      </c>
      <c r="C967" s="1">
        <f t="shared" si="272"/>
        <v>5936720</v>
      </c>
      <c r="D967" s="21">
        <f t="shared" si="271"/>
        <v>0</v>
      </c>
      <c r="E967" s="21">
        <v>0</v>
      </c>
      <c r="F967" s="21">
        <v>0</v>
      </c>
      <c r="G967" s="21">
        <v>0</v>
      </c>
      <c r="H967" s="21">
        <v>0</v>
      </c>
      <c r="I967" s="21">
        <v>0</v>
      </c>
      <c r="J967" s="21">
        <v>0</v>
      </c>
      <c r="K967" s="40">
        <v>0</v>
      </c>
      <c r="L967" s="21">
        <v>0</v>
      </c>
      <c r="M967" s="3">
        <v>1082.4000000000001</v>
      </c>
      <c r="N967" s="3">
        <v>5736720</v>
      </c>
      <c r="O967" s="21">
        <v>0</v>
      </c>
      <c r="P967" s="21">
        <v>0</v>
      </c>
      <c r="Q967" s="3">
        <v>0</v>
      </c>
      <c r="R967" s="3">
        <v>0</v>
      </c>
      <c r="S967" s="21">
        <v>0</v>
      </c>
      <c r="T967" s="3">
        <v>0</v>
      </c>
      <c r="U967" s="21">
        <v>200000</v>
      </c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  <c r="FE967" s="2"/>
      <c r="FF967" s="2"/>
      <c r="FG967" s="2"/>
      <c r="FH967" s="2"/>
      <c r="FI967" s="2"/>
      <c r="FJ967" s="2"/>
      <c r="FK967" s="2"/>
      <c r="FL967" s="2"/>
      <c r="FM967" s="2"/>
      <c r="FN967" s="2"/>
      <c r="FO967" s="2"/>
      <c r="FP967" s="2"/>
      <c r="FQ967" s="2"/>
      <c r="FR967" s="2"/>
      <c r="FS967" s="2"/>
      <c r="FT967" s="2"/>
      <c r="FU967" s="2"/>
      <c r="FV967" s="2"/>
      <c r="FW967" s="2"/>
      <c r="FX967" s="2"/>
      <c r="FY967" s="2"/>
      <c r="FZ967" s="2"/>
      <c r="GA967" s="2"/>
      <c r="GB967" s="2"/>
      <c r="GC967" s="2"/>
      <c r="GD967" s="2"/>
      <c r="GE967" s="2"/>
      <c r="GF967" s="2"/>
      <c r="GG967" s="2"/>
      <c r="GH967" s="2"/>
      <c r="GI967" s="2"/>
      <c r="GJ967" s="2"/>
      <c r="GK967" s="2"/>
      <c r="GL967" s="2"/>
      <c r="GM967" s="2"/>
      <c r="GN967" s="2"/>
      <c r="GO967" s="2"/>
      <c r="GP967" s="2"/>
      <c r="GQ967" s="2"/>
      <c r="GR967" s="2"/>
      <c r="GS967" s="2"/>
      <c r="GT967" s="2"/>
      <c r="GU967" s="2"/>
      <c r="GV967" s="2"/>
      <c r="GW967" s="2"/>
      <c r="GX967" s="2"/>
      <c r="GY967" s="2"/>
      <c r="GZ967" s="2"/>
      <c r="HA967" s="2"/>
      <c r="HB967" s="2"/>
      <c r="HC967" s="2"/>
      <c r="HD967" s="2"/>
      <c r="HE967" s="2"/>
      <c r="HF967" s="2"/>
      <c r="HG967" s="2"/>
      <c r="HH967" s="2"/>
      <c r="HI967" s="2"/>
      <c r="HJ967" s="2"/>
      <c r="HK967" s="2"/>
      <c r="HL967" s="2"/>
      <c r="HM967" s="2"/>
      <c r="HN967" s="2"/>
      <c r="HO967" s="2"/>
      <c r="HP967" s="2"/>
      <c r="HQ967" s="2"/>
      <c r="HR967" s="2"/>
      <c r="HS967" s="2"/>
      <c r="HT967" s="2"/>
      <c r="HU967" s="2"/>
      <c r="HV967" s="2"/>
      <c r="HW967" s="2"/>
      <c r="HX967" s="2"/>
      <c r="HY967" s="2"/>
      <c r="HZ967" s="2"/>
      <c r="IA967" s="2"/>
      <c r="IB967" s="2"/>
      <c r="IC967" s="2"/>
      <c r="ID967" s="2"/>
      <c r="IE967" s="2"/>
      <c r="IF967" s="2"/>
      <c r="IG967" s="2"/>
      <c r="IH967" s="2"/>
      <c r="II967" s="2"/>
      <c r="IJ967" s="2"/>
      <c r="IK967" s="2"/>
      <c r="IL967" s="2"/>
      <c r="IM967" s="2"/>
      <c r="IN967" s="2"/>
      <c r="IO967" s="2"/>
      <c r="IP967" s="2"/>
      <c r="IQ967" s="2"/>
      <c r="IR967" s="2"/>
      <c r="IS967" s="2"/>
      <c r="IT967" s="2"/>
      <c r="IU967" s="2"/>
      <c r="IV967" s="2"/>
      <c r="IW967" s="2"/>
      <c r="IX967" s="2"/>
    </row>
    <row r="968" spans="1:258" ht="21.95" customHeight="1">
      <c r="A968" s="52" t="s">
        <v>1508</v>
      </c>
      <c r="B968" s="24" t="s">
        <v>817</v>
      </c>
      <c r="C968" s="1">
        <f t="shared" si="272"/>
        <v>2744000</v>
      </c>
      <c r="D968" s="21">
        <f t="shared" si="271"/>
        <v>0</v>
      </c>
      <c r="E968" s="21">
        <v>0</v>
      </c>
      <c r="F968" s="21">
        <v>0</v>
      </c>
      <c r="G968" s="21">
        <v>0</v>
      </c>
      <c r="H968" s="21">
        <v>0</v>
      </c>
      <c r="I968" s="21">
        <v>0</v>
      </c>
      <c r="J968" s="21">
        <v>0</v>
      </c>
      <c r="K968" s="40">
        <v>0</v>
      </c>
      <c r="L968" s="21">
        <v>0</v>
      </c>
      <c r="M968" s="3">
        <v>480</v>
      </c>
      <c r="N968" s="3">
        <v>2544000</v>
      </c>
      <c r="O968" s="21">
        <v>0</v>
      </c>
      <c r="P968" s="21">
        <v>0</v>
      </c>
      <c r="Q968" s="3">
        <v>0</v>
      </c>
      <c r="R968" s="3">
        <v>0</v>
      </c>
      <c r="S968" s="21">
        <v>0</v>
      </c>
      <c r="T968" s="3">
        <v>0</v>
      </c>
      <c r="U968" s="21">
        <v>200000</v>
      </c>
    </row>
    <row r="969" spans="1:258" ht="21.95" customHeight="1">
      <c r="A969" s="52" t="s">
        <v>1509</v>
      </c>
      <c r="B969" s="24" t="s">
        <v>818</v>
      </c>
      <c r="C969" s="1">
        <f t="shared" si="272"/>
        <v>3045570</v>
      </c>
      <c r="D969" s="21">
        <f t="shared" si="271"/>
        <v>0</v>
      </c>
      <c r="E969" s="21">
        <v>0</v>
      </c>
      <c r="F969" s="21">
        <v>0</v>
      </c>
      <c r="G969" s="21">
        <v>0</v>
      </c>
      <c r="H969" s="21">
        <v>0</v>
      </c>
      <c r="I969" s="21">
        <v>0</v>
      </c>
      <c r="J969" s="21">
        <v>0</v>
      </c>
      <c r="K969" s="40">
        <v>0</v>
      </c>
      <c r="L969" s="21">
        <v>0</v>
      </c>
      <c r="M969" s="3">
        <v>536.9</v>
      </c>
      <c r="N969" s="3">
        <v>2845570</v>
      </c>
      <c r="O969" s="21">
        <v>0</v>
      </c>
      <c r="P969" s="21">
        <v>0</v>
      </c>
      <c r="Q969" s="3">
        <v>0</v>
      </c>
      <c r="R969" s="3">
        <v>0</v>
      </c>
      <c r="S969" s="21">
        <v>0</v>
      </c>
      <c r="T969" s="3">
        <v>0</v>
      </c>
      <c r="U969" s="21">
        <v>200000</v>
      </c>
    </row>
    <row r="970" spans="1:258" ht="21.95" customHeight="1">
      <c r="A970" s="52" t="s">
        <v>1510</v>
      </c>
      <c r="B970" s="24" t="s">
        <v>735</v>
      </c>
      <c r="C970" s="1">
        <f t="shared" si="272"/>
        <v>3134610</v>
      </c>
      <c r="D970" s="21">
        <f t="shared" si="271"/>
        <v>0</v>
      </c>
      <c r="E970" s="21">
        <v>0</v>
      </c>
      <c r="F970" s="21">
        <v>0</v>
      </c>
      <c r="G970" s="21">
        <v>0</v>
      </c>
      <c r="H970" s="21">
        <v>0</v>
      </c>
      <c r="I970" s="21">
        <v>0</v>
      </c>
      <c r="J970" s="21">
        <v>0</v>
      </c>
      <c r="K970" s="40">
        <v>0</v>
      </c>
      <c r="L970" s="21">
        <v>0</v>
      </c>
      <c r="M970" s="21">
        <v>553.70000000000005</v>
      </c>
      <c r="N970" s="23">
        <v>2934610</v>
      </c>
      <c r="O970" s="21">
        <v>0</v>
      </c>
      <c r="P970" s="21">
        <v>0</v>
      </c>
      <c r="Q970" s="3">
        <v>0</v>
      </c>
      <c r="R970" s="3">
        <v>0</v>
      </c>
      <c r="S970" s="21">
        <v>0</v>
      </c>
      <c r="T970" s="3">
        <v>0</v>
      </c>
      <c r="U970" s="21">
        <v>200000</v>
      </c>
    </row>
    <row r="971" spans="1:258" ht="21.95" customHeight="1">
      <c r="A971" s="52" t="s">
        <v>1511</v>
      </c>
      <c r="B971" s="24" t="s">
        <v>736</v>
      </c>
      <c r="C971" s="1">
        <f t="shared" si="272"/>
        <v>2744000</v>
      </c>
      <c r="D971" s="21">
        <f t="shared" si="271"/>
        <v>0</v>
      </c>
      <c r="E971" s="21">
        <v>0</v>
      </c>
      <c r="F971" s="21">
        <v>0</v>
      </c>
      <c r="G971" s="21">
        <v>0</v>
      </c>
      <c r="H971" s="21">
        <v>0</v>
      </c>
      <c r="I971" s="21">
        <v>0</v>
      </c>
      <c r="J971" s="21">
        <v>0</v>
      </c>
      <c r="K971" s="40">
        <v>0</v>
      </c>
      <c r="L971" s="21">
        <v>0</v>
      </c>
      <c r="M971" s="21">
        <v>480</v>
      </c>
      <c r="N971" s="21">
        <v>2544000</v>
      </c>
      <c r="O971" s="21">
        <v>0</v>
      </c>
      <c r="P971" s="21">
        <v>0</v>
      </c>
      <c r="Q971" s="3">
        <v>0</v>
      </c>
      <c r="R971" s="3">
        <v>0</v>
      </c>
      <c r="S971" s="21">
        <v>0</v>
      </c>
      <c r="T971" s="3">
        <v>0</v>
      </c>
      <c r="U971" s="21">
        <v>200000</v>
      </c>
    </row>
    <row r="972" spans="1:258" ht="21.95" customHeight="1">
      <c r="A972" s="52" t="s">
        <v>1512</v>
      </c>
      <c r="B972" s="24" t="s">
        <v>737</v>
      </c>
      <c r="C972" s="1">
        <f t="shared" si="272"/>
        <v>4546000</v>
      </c>
      <c r="D972" s="21">
        <f t="shared" si="271"/>
        <v>0</v>
      </c>
      <c r="E972" s="21">
        <v>0</v>
      </c>
      <c r="F972" s="21">
        <v>0</v>
      </c>
      <c r="G972" s="21">
        <v>0</v>
      </c>
      <c r="H972" s="21">
        <v>0</v>
      </c>
      <c r="I972" s="21">
        <v>0</v>
      </c>
      <c r="J972" s="21">
        <v>0</v>
      </c>
      <c r="K972" s="40">
        <v>0</v>
      </c>
      <c r="L972" s="21">
        <v>0</v>
      </c>
      <c r="M972" s="3">
        <v>820</v>
      </c>
      <c r="N972" s="3">
        <v>4346000</v>
      </c>
      <c r="O972" s="21">
        <v>0</v>
      </c>
      <c r="P972" s="21">
        <v>0</v>
      </c>
      <c r="Q972" s="3">
        <v>0</v>
      </c>
      <c r="R972" s="3">
        <v>0</v>
      </c>
      <c r="S972" s="21">
        <v>0</v>
      </c>
      <c r="T972" s="3">
        <v>0</v>
      </c>
      <c r="U972" s="21">
        <v>200000</v>
      </c>
    </row>
    <row r="973" spans="1:258" ht="21.95" customHeight="1">
      <c r="A973" s="52" t="s">
        <v>1513</v>
      </c>
      <c r="B973" s="24" t="s">
        <v>738</v>
      </c>
      <c r="C973" s="1">
        <f t="shared" si="272"/>
        <v>3088500</v>
      </c>
      <c r="D973" s="21">
        <f t="shared" si="271"/>
        <v>0</v>
      </c>
      <c r="E973" s="21">
        <v>0</v>
      </c>
      <c r="F973" s="21">
        <v>0</v>
      </c>
      <c r="G973" s="21">
        <v>0</v>
      </c>
      <c r="H973" s="21">
        <v>0</v>
      </c>
      <c r="I973" s="21">
        <v>0</v>
      </c>
      <c r="J973" s="21">
        <v>0</v>
      </c>
      <c r="K973" s="40">
        <v>0</v>
      </c>
      <c r="L973" s="21">
        <v>0</v>
      </c>
      <c r="M973" s="21">
        <v>545</v>
      </c>
      <c r="N973" s="21">
        <v>2888500</v>
      </c>
      <c r="O973" s="21">
        <v>0</v>
      </c>
      <c r="P973" s="21">
        <v>0</v>
      </c>
      <c r="Q973" s="3">
        <v>0</v>
      </c>
      <c r="R973" s="3">
        <v>0</v>
      </c>
      <c r="S973" s="21">
        <v>0</v>
      </c>
      <c r="T973" s="3">
        <v>0</v>
      </c>
      <c r="U973" s="21">
        <v>200000</v>
      </c>
    </row>
    <row r="974" spans="1:258" ht="21.95" customHeight="1">
      <c r="A974" s="52" t="s">
        <v>1796</v>
      </c>
      <c r="B974" s="24" t="s">
        <v>739</v>
      </c>
      <c r="C974" s="1">
        <f t="shared" si="272"/>
        <v>2505500</v>
      </c>
      <c r="D974" s="21">
        <f t="shared" si="271"/>
        <v>0</v>
      </c>
      <c r="E974" s="21">
        <v>0</v>
      </c>
      <c r="F974" s="21">
        <v>0</v>
      </c>
      <c r="G974" s="21">
        <v>0</v>
      </c>
      <c r="H974" s="21">
        <v>0</v>
      </c>
      <c r="I974" s="21">
        <v>0</v>
      </c>
      <c r="J974" s="21">
        <v>0</v>
      </c>
      <c r="K974" s="40">
        <v>0</v>
      </c>
      <c r="L974" s="21">
        <v>0</v>
      </c>
      <c r="M974" s="21">
        <v>435</v>
      </c>
      <c r="N974" s="21">
        <v>2305500</v>
      </c>
      <c r="O974" s="21">
        <v>0</v>
      </c>
      <c r="P974" s="21">
        <v>0</v>
      </c>
      <c r="Q974" s="3">
        <v>0</v>
      </c>
      <c r="R974" s="3">
        <v>0</v>
      </c>
      <c r="S974" s="21">
        <v>0</v>
      </c>
      <c r="T974" s="3">
        <v>0</v>
      </c>
      <c r="U974" s="21">
        <v>200000</v>
      </c>
    </row>
    <row r="975" spans="1:258" ht="21.95" customHeight="1">
      <c r="A975" s="52" t="s">
        <v>1797</v>
      </c>
      <c r="B975" s="24" t="s">
        <v>740</v>
      </c>
      <c r="C975" s="1">
        <f t="shared" si="272"/>
        <v>3329120</v>
      </c>
      <c r="D975" s="21">
        <f t="shared" si="271"/>
        <v>0</v>
      </c>
      <c r="E975" s="21">
        <v>0</v>
      </c>
      <c r="F975" s="21">
        <v>0</v>
      </c>
      <c r="G975" s="21">
        <v>0</v>
      </c>
      <c r="H975" s="21">
        <v>0</v>
      </c>
      <c r="I975" s="21">
        <v>0</v>
      </c>
      <c r="J975" s="21">
        <v>0</v>
      </c>
      <c r="K975" s="40">
        <v>0</v>
      </c>
      <c r="L975" s="21">
        <v>0</v>
      </c>
      <c r="M975" s="3">
        <v>590.4</v>
      </c>
      <c r="N975" s="3">
        <v>3129120</v>
      </c>
      <c r="O975" s="21">
        <v>0</v>
      </c>
      <c r="P975" s="21">
        <v>0</v>
      </c>
      <c r="Q975" s="3">
        <v>0</v>
      </c>
      <c r="R975" s="3">
        <v>0</v>
      </c>
      <c r="S975" s="21">
        <v>0</v>
      </c>
      <c r="T975" s="3">
        <v>0</v>
      </c>
      <c r="U975" s="21">
        <v>200000</v>
      </c>
    </row>
    <row r="976" spans="1:258" ht="21.95" customHeight="1">
      <c r="A976" s="52" t="s">
        <v>1798</v>
      </c>
      <c r="B976" s="24" t="s">
        <v>741</v>
      </c>
      <c r="C976" s="1">
        <f t="shared" si="272"/>
        <v>3101750</v>
      </c>
      <c r="D976" s="21">
        <f t="shared" si="271"/>
        <v>0</v>
      </c>
      <c r="E976" s="21">
        <v>0</v>
      </c>
      <c r="F976" s="21">
        <v>0</v>
      </c>
      <c r="G976" s="21">
        <v>0</v>
      </c>
      <c r="H976" s="21">
        <v>0</v>
      </c>
      <c r="I976" s="21">
        <v>0</v>
      </c>
      <c r="J976" s="21">
        <v>0</v>
      </c>
      <c r="K976" s="40">
        <v>0</v>
      </c>
      <c r="L976" s="21">
        <v>0</v>
      </c>
      <c r="M976" s="21">
        <v>547.5</v>
      </c>
      <c r="N976" s="21">
        <v>2901750</v>
      </c>
      <c r="O976" s="21">
        <v>0</v>
      </c>
      <c r="P976" s="21">
        <v>0</v>
      </c>
      <c r="Q976" s="3">
        <v>0</v>
      </c>
      <c r="R976" s="3">
        <v>0</v>
      </c>
      <c r="S976" s="21">
        <v>0</v>
      </c>
      <c r="T976" s="3">
        <v>0</v>
      </c>
      <c r="U976" s="21">
        <v>200000</v>
      </c>
    </row>
    <row r="977" spans="1:258" ht="21.95" customHeight="1">
      <c r="A977" s="52" t="s">
        <v>1799</v>
      </c>
      <c r="B977" s="24" t="s">
        <v>819</v>
      </c>
      <c r="C977" s="1">
        <f t="shared" si="272"/>
        <v>3316400</v>
      </c>
      <c r="D977" s="21">
        <f t="shared" si="271"/>
        <v>0</v>
      </c>
      <c r="E977" s="21">
        <v>0</v>
      </c>
      <c r="F977" s="21">
        <v>0</v>
      </c>
      <c r="G977" s="21">
        <v>0</v>
      </c>
      <c r="H977" s="21">
        <v>0</v>
      </c>
      <c r="I977" s="21">
        <v>0</v>
      </c>
      <c r="J977" s="21">
        <v>0</v>
      </c>
      <c r="K977" s="40">
        <v>0</v>
      </c>
      <c r="L977" s="21">
        <v>0</v>
      </c>
      <c r="M977" s="3">
        <v>588</v>
      </c>
      <c r="N977" s="3">
        <v>3116400</v>
      </c>
      <c r="O977" s="21">
        <v>0</v>
      </c>
      <c r="P977" s="21">
        <v>0</v>
      </c>
      <c r="Q977" s="3">
        <v>0</v>
      </c>
      <c r="R977" s="3">
        <v>0</v>
      </c>
      <c r="S977" s="21">
        <v>0</v>
      </c>
      <c r="T977" s="3">
        <v>0</v>
      </c>
      <c r="U977" s="21">
        <v>200000</v>
      </c>
    </row>
    <row r="978" spans="1:258" ht="21.95" customHeight="1">
      <c r="A978" s="52" t="s">
        <v>1800</v>
      </c>
      <c r="B978" s="24" t="s">
        <v>742</v>
      </c>
      <c r="C978" s="1">
        <f t="shared" si="272"/>
        <v>24434720</v>
      </c>
      <c r="D978" s="21">
        <f t="shared" si="271"/>
        <v>24234720</v>
      </c>
      <c r="E978" s="21">
        <f>350*10097.8</f>
        <v>3534229.9999999995</v>
      </c>
      <c r="F978" s="21">
        <f>800*10097.8</f>
        <v>8078239.9999999991</v>
      </c>
      <c r="G978" s="21">
        <f>350*10097.8</f>
        <v>3534229.9999999995</v>
      </c>
      <c r="H978" s="21">
        <f>500*10097.8</f>
        <v>5048900</v>
      </c>
      <c r="I978" s="21">
        <f>400*10097.8</f>
        <v>4039119.9999999995</v>
      </c>
      <c r="J978" s="21">
        <v>0</v>
      </c>
      <c r="K978" s="40">
        <v>0</v>
      </c>
      <c r="L978" s="21">
        <v>0</v>
      </c>
      <c r="M978" s="21">
        <v>0</v>
      </c>
      <c r="N978" s="21">
        <v>0</v>
      </c>
      <c r="O978" s="21">
        <v>0</v>
      </c>
      <c r="P978" s="21">
        <v>0</v>
      </c>
      <c r="Q978" s="21">
        <v>0</v>
      </c>
      <c r="R978" s="21">
        <v>0</v>
      </c>
      <c r="S978" s="21">
        <v>0</v>
      </c>
      <c r="T978" s="3">
        <v>0</v>
      </c>
      <c r="U978" s="21">
        <v>200000</v>
      </c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0"/>
      <c r="AJ978" s="10"/>
      <c r="AK978" s="10"/>
      <c r="AL978" s="10"/>
      <c r="AM978" s="10"/>
      <c r="AN978" s="10"/>
      <c r="AO978" s="10"/>
      <c r="AP978" s="10"/>
      <c r="AQ978" s="10"/>
      <c r="AR978" s="10"/>
      <c r="AS978" s="10"/>
      <c r="AT978" s="10"/>
      <c r="AU978" s="10"/>
      <c r="AV978" s="10"/>
      <c r="AW978" s="10"/>
      <c r="AX978" s="10"/>
      <c r="AY978" s="10"/>
      <c r="AZ978" s="10"/>
      <c r="BA978" s="10"/>
      <c r="BB978" s="10"/>
      <c r="BC978" s="10"/>
      <c r="BD978" s="10"/>
      <c r="BE978" s="10"/>
      <c r="BF978" s="10"/>
      <c r="BG978" s="10"/>
      <c r="BH978" s="10"/>
      <c r="BI978" s="10"/>
      <c r="BJ978" s="10"/>
      <c r="BK978" s="10"/>
      <c r="BL978" s="10"/>
      <c r="BM978" s="10"/>
      <c r="BN978" s="10"/>
      <c r="BO978" s="10"/>
      <c r="BP978" s="10"/>
      <c r="BQ978" s="10"/>
      <c r="BR978" s="10"/>
      <c r="BS978" s="10"/>
      <c r="BT978" s="10"/>
      <c r="BU978" s="10"/>
      <c r="BV978" s="10"/>
      <c r="BW978" s="10"/>
      <c r="BX978" s="10"/>
      <c r="BY978" s="10"/>
      <c r="BZ978" s="10"/>
      <c r="CA978" s="10"/>
      <c r="CB978" s="10"/>
      <c r="CC978" s="10"/>
      <c r="CD978" s="10"/>
      <c r="CE978" s="10"/>
      <c r="CF978" s="10"/>
      <c r="CG978" s="10"/>
      <c r="CH978" s="10"/>
      <c r="CI978" s="10"/>
      <c r="CJ978" s="10"/>
      <c r="CK978" s="10"/>
      <c r="CL978" s="10"/>
      <c r="CM978" s="10"/>
      <c r="CN978" s="10"/>
      <c r="CO978" s="10"/>
      <c r="CP978" s="10"/>
      <c r="CQ978" s="10"/>
      <c r="CR978" s="10"/>
      <c r="CS978" s="10"/>
      <c r="CT978" s="10"/>
      <c r="CU978" s="10"/>
      <c r="CV978" s="10"/>
      <c r="CW978" s="10"/>
      <c r="CX978" s="10"/>
      <c r="CY978" s="10"/>
      <c r="CZ978" s="10"/>
      <c r="DA978" s="10"/>
      <c r="DB978" s="10"/>
      <c r="DC978" s="10"/>
      <c r="DD978" s="10"/>
      <c r="DE978" s="10"/>
      <c r="DF978" s="10"/>
      <c r="DG978" s="10"/>
      <c r="DH978" s="10"/>
      <c r="DI978" s="10"/>
      <c r="DJ978" s="10"/>
      <c r="DK978" s="10"/>
      <c r="DL978" s="10"/>
      <c r="DM978" s="10"/>
      <c r="DN978" s="10"/>
      <c r="DO978" s="10"/>
      <c r="DP978" s="10"/>
      <c r="DQ978" s="10"/>
      <c r="DR978" s="10"/>
      <c r="DS978" s="10"/>
      <c r="DT978" s="10"/>
      <c r="DU978" s="10"/>
      <c r="DV978" s="10"/>
      <c r="DW978" s="10"/>
      <c r="DX978" s="10"/>
      <c r="DY978" s="10"/>
      <c r="DZ978" s="10"/>
      <c r="EA978" s="10"/>
      <c r="EB978" s="10"/>
      <c r="EC978" s="10"/>
      <c r="ED978" s="10"/>
      <c r="EE978" s="10"/>
      <c r="EF978" s="10"/>
      <c r="EG978" s="10"/>
      <c r="EH978" s="10"/>
      <c r="EI978" s="10"/>
      <c r="EJ978" s="10"/>
      <c r="EK978" s="10"/>
      <c r="EL978" s="10"/>
      <c r="EM978" s="10"/>
      <c r="EN978" s="10"/>
      <c r="EO978" s="10"/>
      <c r="EP978" s="10"/>
      <c r="EQ978" s="10"/>
      <c r="ER978" s="10"/>
      <c r="ES978" s="10"/>
      <c r="ET978" s="10"/>
      <c r="EU978" s="10"/>
      <c r="EV978" s="10"/>
      <c r="EW978" s="10"/>
      <c r="EX978" s="10"/>
      <c r="EY978" s="10"/>
      <c r="EZ978" s="10"/>
      <c r="FA978" s="10"/>
      <c r="FB978" s="10"/>
      <c r="FC978" s="10"/>
      <c r="FD978" s="10"/>
      <c r="FE978" s="10"/>
      <c r="FF978" s="10"/>
      <c r="FG978" s="10"/>
      <c r="FH978" s="10"/>
      <c r="FI978" s="10"/>
      <c r="FJ978" s="10"/>
      <c r="FK978" s="10"/>
      <c r="FL978" s="10"/>
      <c r="FM978" s="10"/>
      <c r="FN978" s="10"/>
      <c r="FO978" s="10"/>
      <c r="FP978" s="10"/>
      <c r="FQ978" s="10"/>
      <c r="FR978" s="10"/>
      <c r="FS978" s="10"/>
      <c r="FT978" s="10"/>
      <c r="FU978" s="10"/>
      <c r="FV978" s="10"/>
      <c r="FW978" s="10"/>
      <c r="FX978" s="10"/>
      <c r="FY978" s="10"/>
      <c r="FZ978" s="10"/>
      <c r="GA978" s="10"/>
      <c r="GB978" s="10"/>
      <c r="GC978" s="10"/>
      <c r="GD978" s="10"/>
      <c r="GE978" s="10"/>
      <c r="GF978" s="10"/>
      <c r="GG978" s="10"/>
      <c r="GH978" s="10"/>
      <c r="GI978" s="10"/>
      <c r="GJ978" s="10"/>
      <c r="GK978" s="10"/>
      <c r="GL978" s="10"/>
      <c r="GM978" s="10"/>
      <c r="GN978" s="10"/>
      <c r="GO978" s="10"/>
      <c r="GP978" s="10"/>
      <c r="GQ978" s="10"/>
      <c r="GR978" s="10"/>
      <c r="GS978" s="10"/>
      <c r="GT978" s="10"/>
      <c r="GU978" s="10"/>
      <c r="GV978" s="10"/>
      <c r="GW978" s="10"/>
      <c r="GX978" s="10"/>
      <c r="GY978" s="10"/>
      <c r="GZ978" s="10"/>
      <c r="HA978" s="10"/>
      <c r="HB978" s="10"/>
      <c r="HC978" s="10"/>
      <c r="HD978" s="10"/>
      <c r="HE978" s="10"/>
      <c r="HF978" s="10"/>
      <c r="HG978" s="10"/>
      <c r="HH978" s="10"/>
      <c r="HI978" s="10"/>
      <c r="HJ978" s="10"/>
      <c r="HK978" s="10"/>
      <c r="HL978" s="10"/>
      <c r="HM978" s="10"/>
      <c r="HN978" s="10"/>
      <c r="HO978" s="10"/>
      <c r="HP978" s="10"/>
      <c r="HQ978" s="10"/>
      <c r="HR978" s="10"/>
      <c r="HS978" s="10"/>
      <c r="HT978" s="10"/>
      <c r="HU978" s="10"/>
      <c r="HV978" s="10"/>
      <c r="HW978" s="10"/>
      <c r="HX978" s="10"/>
      <c r="HY978" s="10"/>
      <c r="HZ978" s="10"/>
      <c r="IA978" s="10"/>
      <c r="IB978" s="10"/>
      <c r="IC978" s="10"/>
      <c r="ID978" s="10"/>
      <c r="IE978" s="10"/>
      <c r="IF978" s="10"/>
      <c r="IG978" s="10"/>
      <c r="IH978" s="10"/>
      <c r="II978" s="10"/>
      <c r="IJ978" s="10"/>
      <c r="IK978" s="10"/>
      <c r="IL978" s="10"/>
      <c r="IM978" s="10"/>
      <c r="IN978" s="10"/>
      <c r="IO978" s="10"/>
      <c r="IP978" s="10"/>
      <c r="IQ978" s="10"/>
      <c r="IR978" s="10"/>
      <c r="IS978" s="10"/>
      <c r="IT978" s="10"/>
      <c r="IU978" s="10"/>
      <c r="IV978" s="10"/>
      <c r="IW978" s="10"/>
      <c r="IX978" s="10"/>
    </row>
    <row r="979" spans="1:258" ht="21.95" customHeight="1">
      <c r="A979" s="52" t="s">
        <v>1801</v>
      </c>
      <c r="B979" s="24" t="s">
        <v>820</v>
      </c>
      <c r="C979" s="1">
        <f t="shared" si="272"/>
        <v>4457264</v>
      </c>
      <c r="D979" s="21">
        <f t="shared" si="271"/>
        <v>4257264</v>
      </c>
      <c r="E979" s="21">
        <f>350*1773.86</f>
        <v>620851</v>
      </c>
      <c r="F979" s="21">
        <f>800*1773.86</f>
        <v>1419088</v>
      </c>
      <c r="G979" s="21">
        <f>350*1773.86</f>
        <v>620851</v>
      </c>
      <c r="H979" s="21">
        <f>500*1773.86</f>
        <v>886930</v>
      </c>
      <c r="I979" s="21">
        <f>400*1773.86</f>
        <v>709544</v>
      </c>
      <c r="J979" s="21">
        <v>0</v>
      </c>
      <c r="K979" s="40">
        <v>0</v>
      </c>
      <c r="L979" s="21">
        <v>0</v>
      </c>
      <c r="M979" s="21">
        <v>0</v>
      </c>
      <c r="N979" s="21">
        <v>0</v>
      </c>
      <c r="O979" s="21">
        <v>0</v>
      </c>
      <c r="P979" s="21">
        <v>0</v>
      </c>
      <c r="Q979" s="21">
        <v>0</v>
      </c>
      <c r="R979" s="21">
        <v>0</v>
      </c>
      <c r="S979" s="21">
        <v>0</v>
      </c>
      <c r="T979" s="3">
        <v>0</v>
      </c>
      <c r="U979" s="21">
        <v>200000</v>
      </c>
    </row>
    <row r="980" spans="1:258" ht="21.95" customHeight="1">
      <c r="A980" s="52" t="s">
        <v>1802</v>
      </c>
      <c r="B980" s="24" t="s">
        <v>743</v>
      </c>
      <c r="C980" s="1">
        <f t="shared" si="272"/>
        <v>1514400</v>
      </c>
      <c r="D980" s="21">
        <f t="shared" si="271"/>
        <v>0</v>
      </c>
      <c r="E980" s="21">
        <v>0</v>
      </c>
      <c r="F980" s="21">
        <v>0</v>
      </c>
      <c r="G980" s="21">
        <v>0</v>
      </c>
      <c r="H980" s="21">
        <v>0</v>
      </c>
      <c r="I980" s="21">
        <v>0</v>
      </c>
      <c r="J980" s="21">
        <v>0</v>
      </c>
      <c r="K980" s="5">
        <v>0</v>
      </c>
      <c r="L980" s="3">
        <v>0</v>
      </c>
      <c r="M980" s="3">
        <v>248</v>
      </c>
      <c r="N980" s="3">
        <v>1314400</v>
      </c>
      <c r="O980" s="21">
        <v>0</v>
      </c>
      <c r="P980" s="21">
        <v>0</v>
      </c>
      <c r="Q980" s="21">
        <v>0</v>
      </c>
      <c r="R980" s="21">
        <v>0</v>
      </c>
      <c r="S980" s="21">
        <v>0</v>
      </c>
      <c r="T980" s="3">
        <v>0</v>
      </c>
      <c r="U980" s="21">
        <v>200000</v>
      </c>
    </row>
    <row r="981" spans="1:258" s="12" customFormat="1" ht="21.95" customHeight="1">
      <c r="A981" s="52" t="s">
        <v>1803</v>
      </c>
      <c r="B981" s="24" t="s">
        <v>744</v>
      </c>
      <c r="C981" s="1">
        <f t="shared" si="272"/>
        <v>1556800</v>
      </c>
      <c r="D981" s="21">
        <f t="shared" si="271"/>
        <v>0</v>
      </c>
      <c r="E981" s="21">
        <v>0</v>
      </c>
      <c r="F981" s="21">
        <v>0</v>
      </c>
      <c r="G981" s="21">
        <v>0</v>
      </c>
      <c r="H981" s="21">
        <v>0</v>
      </c>
      <c r="I981" s="21">
        <v>0</v>
      </c>
      <c r="J981" s="21">
        <v>0</v>
      </c>
      <c r="K981" s="5">
        <v>0</v>
      </c>
      <c r="L981" s="3">
        <v>0</v>
      </c>
      <c r="M981" s="21">
        <v>256</v>
      </c>
      <c r="N981" s="21">
        <v>1356800</v>
      </c>
      <c r="O981" s="21">
        <v>0</v>
      </c>
      <c r="P981" s="21">
        <v>0</v>
      </c>
      <c r="Q981" s="21">
        <v>0</v>
      </c>
      <c r="R981" s="21">
        <v>0</v>
      </c>
      <c r="S981" s="21">
        <v>0</v>
      </c>
      <c r="T981" s="3">
        <v>0</v>
      </c>
      <c r="U981" s="21">
        <v>200000</v>
      </c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  <c r="FE981" s="2"/>
      <c r="FF981" s="2"/>
      <c r="FG981" s="2"/>
      <c r="FH981" s="2"/>
      <c r="FI981" s="2"/>
      <c r="FJ981" s="2"/>
      <c r="FK981" s="2"/>
      <c r="FL981" s="2"/>
      <c r="FM981" s="2"/>
      <c r="FN981" s="2"/>
      <c r="FO981" s="2"/>
      <c r="FP981" s="2"/>
      <c r="FQ981" s="2"/>
      <c r="FR981" s="2"/>
      <c r="FS981" s="2"/>
      <c r="FT981" s="2"/>
      <c r="FU981" s="2"/>
      <c r="FV981" s="2"/>
      <c r="FW981" s="2"/>
      <c r="FX981" s="2"/>
      <c r="FY981" s="2"/>
      <c r="FZ981" s="2"/>
      <c r="GA981" s="2"/>
      <c r="GB981" s="2"/>
      <c r="GC981" s="2"/>
      <c r="GD981" s="2"/>
      <c r="GE981" s="2"/>
      <c r="GF981" s="2"/>
      <c r="GG981" s="2"/>
      <c r="GH981" s="2"/>
      <c r="GI981" s="2"/>
      <c r="GJ981" s="2"/>
      <c r="GK981" s="2"/>
      <c r="GL981" s="2"/>
      <c r="GM981" s="2"/>
      <c r="GN981" s="2"/>
      <c r="GO981" s="2"/>
      <c r="GP981" s="2"/>
      <c r="GQ981" s="2"/>
      <c r="GR981" s="2"/>
      <c r="GS981" s="2"/>
      <c r="GT981" s="2"/>
      <c r="GU981" s="2"/>
      <c r="GV981" s="2"/>
      <c r="GW981" s="2"/>
      <c r="GX981" s="2"/>
      <c r="GY981" s="2"/>
      <c r="GZ981" s="2"/>
      <c r="HA981" s="2"/>
      <c r="HB981" s="2"/>
      <c r="HC981" s="2"/>
      <c r="HD981" s="2"/>
      <c r="HE981" s="2"/>
      <c r="HF981" s="2"/>
      <c r="HG981" s="2"/>
      <c r="HH981" s="2"/>
      <c r="HI981" s="2"/>
      <c r="HJ981" s="2"/>
      <c r="HK981" s="2"/>
      <c r="HL981" s="2"/>
      <c r="HM981" s="2"/>
      <c r="HN981" s="2"/>
      <c r="HO981" s="2"/>
      <c r="HP981" s="2"/>
      <c r="HQ981" s="2"/>
      <c r="HR981" s="2"/>
      <c r="HS981" s="2"/>
      <c r="HT981" s="2"/>
      <c r="HU981" s="2"/>
      <c r="HV981" s="2"/>
      <c r="HW981" s="2"/>
      <c r="HX981" s="2"/>
      <c r="HY981" s="2"/>
      <c r="HZ981" s="2"/>
      <c r="IA981" s="2"/>
      <c r="IB981" s="2"/>
      <c r="IC981" s="2"/>
      <c r="ID981" s="2"/>
      <c r="IE981" s="2"/>
      <c r="IF981" s="2"/>
      <c r="IG981" s="2"/>
      <c r="IH981" s="2"/>
      <c r="II981" s="2"/>
      <c r="IJ981" s="2"/>
      <c r="IK981" s="2"/>
      <c r="IL981" s="2"/>
      <c r="IM981" s="2"/>
      <c r="IN981" s="2"/>
      <c r="IO981" s="2"/>
      <c r="IP981" s="2"/>
      <c r="IQ981" s="2"/>
      <c r="IR981" s="2"/>
      <c r="IS981" s="2"/>
      <c r="IT981" s="2"/>
      <c r="IU981" s="2"/>
      <c r="IV981" s="2"/>
      <c r="IW981" s="2"/>
      <c r="IX981" s="2"/>
    </row>
    <row r="982" spans="1:258" ht="21.95" customHeight="1">
      <c r="A982" s="52" t="s">
        <v>1804</v>
      </c>
      <c r="B982" s="24" t="s">
        <v>745</v>
      </c>
      <c r="C982" s="1">
        <f t="shared" si="272"/>
        <v>1483660</v>
      </c>
      <c r="D982" s="21">
        <f t="shared" si="271"/>
        <v>0</v>
      </c>
      <c r="E982" s="21">
        <v>0</v>
      </c>
      <c r="F982" s="21">
        <v>0</v>
      </c>
      <c r="G982" s="21">
        <v>0</v>
      </c>
      <c r="H982" s="21">
        <v>0</v>
      </c>
      <c r="I982" s="21">
        <v>0</v>
      </c>
      <c r="J982" s="21">
        <v>0</v>
      </c>
      <c r="K982" s="5">
        <v>0</v>
      </c>
      <c r="L982" s="3">
        <v>0</v>
      </c>
      <c r="M982" s="21">
        <v>242.2</v>
      </c>
      <c r="N982" s="21">
        <v>1283660</v>
      </c>
      <c r="O982" s="21">
        <v>0</v>
      </c>
      <c r="P982" s="21">
        <v>0</v>
      </c>
      <c r="Q982" s="21">
        <v>0</v>
      </c>
      <c r="R982" s="21">
        <v>0</v>
      </c>
      <c r="S982" s="21">
        <v>0</v>
      </c>
      <c r="T982" s="3">
        <v>0</v>
      </c>
      <c r="U982" s="21">
        <v>200000</v>
      </c>
    </row>
    <row r="983" spans="1:258" ht="21.95" customHeight="1">
      <c r="A983" s="52" t="s">
        <v>1805</v>
      </c>
      <c r="B983" s="24" t="s">
        <v>821</v>
      </c>
      <c r="C983" s="1">
        <f t="shared" si="272"/>
        <v>1578000</v>
      </c>
      <c r="D983" s="21">
        <f t="shared" si="271"/>
        <v>0</v>
      </c>
      <c r="E983" s="21">
        <v>0</v>
      </c>
      <c r="F983" s="21">
        <v>0</v>
      </c>
      <c r="G983" s="21">
        <v>0</v>
      </c>
      <c r="H983" s="21">
        <v>0</v>
      </c>
      <c r="I983" s="21">
        <v>0</v>
      </c>
      <c r="J983" s="21">
        <v>0</v>
      </c>
      <c r="K983" s="5">
        <v>0</v>
      </c>
      <c r="L983" s="3">
        <v>0</v>
      </c>
      <c r="M983" s="21">
        <v>260</v>
      </c>
      <c r="N983" s="21">
        <v>1378000</v>
      </c>
      <c r="O983" s="21">
        <v>0</v>
      </c>
      <c r="P983" s="21">
        <v>0</v>
      </c>
      <c r="Q983" s="21">
        <v>0</v>
      </c>
      <c r="R983" s="21">
        <v>0</v>
      </c>
      <c r="S983" s="21">
        <v>0</v>
      </c>
      <c r="T983" s="3">
        <v>0</v>
      </c>
      <c r="U983" s="21">
        <v>200000</v>
      </c>
    </row>
    <row r="984" spans="1:258" ht="21.95" customHeight="1">
      <c r="A984" s="52" t="s">
        <v>1806</v>
      </c>
      <c r="B984" s="24" t="s">
        <v>822</v>
      </c>
      <c r="C984" s="1">
        <f t="shared" si="272"/>
        <v>3904170</v>
      </c>
      <c r="D984" s="21">
        <f t="shared" si="271"/>
        <v>0</v>
      </c>
      <c r="E984" s="21">
        <v>0</v>
      </c>
      <c r="F984" s="21">
        <v>0</v>
      </c>
      <c r="G984" s="21">
        <v>0</v>
      </c>
      <c r="H984" s="21">
        <v>0</v>
      </c>
      <c r="I984" s="21">
        <v>0</v>
      </c>
      <c r="J984" s="21">
        <v>0</v>
      </c>
      <c r="K984" s="5">
        <v>0</v>
      </c>
      <c r="L984" s="3">
        <v>0</v>
      </c>
      <c r="M984" s="21">
        <v>698.9</v>
      </c>
      <c r="N984" s="21">
        <v>3704170</v>
      </c>
      <c r="O984" s="21">
        <v>0</v>
      </c>
      <c r="P984" s="21">
        <v>0</v>
      </c>
      <c r="Q984" s="21">
        <v>0</v>
      </c>
      <c r="R984" s="21">
        <v>0</v>
      </c>
      <c r="S984" s="21">
        <v>0</v>
      </c>
      <c r="T984" s="3">
        <v>0</v>
      </c>
      <c r="U984" s="21">
        <v>200000</v>
      </c>
    </row>
    <row r="985" spans="1:258" ht="21.95" customHeight="1">
      <c r="A985" s="52" t="s">
        <v>1807</v>
      </c>
      <c r="B985" s="24" t="s">
        <v>849</v>
      </c>
      <c r="C985" s="1">
        <f t="shared" si="272"/>
        <v>8498250</v>
      </c>
      <c r="D985" s="21">
        <f t="shared" si="271"/>
        <v>3633720</v>
      </c>
      <c r="E985" s="21">
        <f>350*1514.05</f>
        <v>529917.5</v>
      </c>
      <c r="F985" s="21">
        <f>800*1514.05</f>
        <v>1211240</v>
      </c>
      <c r="G985" s="21">
        <f>350*1514.05</f>
        <v>529917.5</v>
      </c>
      <c r="H985" s="21">
        <f>500*1514.05</f>
        <v>757025</v>
      </c>
      <c r="I985" s="21">
        <f>400*1514.05</f>
        <v>605620</v>
      </c>
      <c r="J985" s="21">
        <v>0</v>
      </c>
      <c r="K985" s="40">
        <v>0</v>
      </c>
      <c r="L985" s="21">
        <v>0</v>
      </c>
      <c r="M985" s="3">
        <v>880.1</v>
      </c>
      <c r="N985" s="3">
        <v>4664530</v>
      </c>
      <c r="O985" s="21">
        <v>0</v>
      </c>
      <c r="P985" s="21">
        <v>0</v>
      </c>
      <c r="Q985" s="21">
        <v>0</v>
      </c>
      <c r="R985" s="21">
        <v>0</v>
      </c>
      <c r="S985" s="21">
        <v>0</v>
      </c>
      <c r="T985" s="3">
        <v>0</v>
      </c>
      <c r="U985" s="21">
        <v>200000</v>
      </c>
    </row>
    <row r="986" spans="1:258" ht="21.95" customHeight="1">
      <c r="A986" s="52" t="s">
        <v>1808</v>
      </c>
      <c r="B986" s="24" t="s">
        <v>823</v>
      </c>
      <c r="C986" s="1">
        <f t="shared" si="272"/>
        <v>6628900</v>
      </c>
      <c r="D986" s="21">
        <f t="shared" si="271"/>
        <v>0</v>
      </c>
      <c r="E986" s="21">
        <v>0</v>
      </c>
      <c r="F986" s="21">
        <v>0</v>
      </c>
      <c r="G986" s="21">
        <v>0</v>
      </c>
      <c r="H986" s="21">
        <v>0</v>
      </c>
      <c r="I986" s="21">
        <v>0</v>
      </c>
      <c r="J986" s="21">
        <v>0</v>
      </c>
      <c r="K986" s="5">
        <v>0</v>
      </c>
      <c r="L986" s="3">
        <v>0</v>
      </c>
      <c r="M986" s="21">
        <v>1213</v>
      </c>
      <c r="N986" s="21">
        <v>6428900</v>
      </c>
      <c r="O986" s="21">
        <v>0</v>
      </c>
      <c r="P986" s="21">
        <v>0</v>
      </c>
      <c r="Q986" s="21">
        <v>0</v>
      </c>
      <c r="R986" s="21">
        <v>0</v>
      </c>
      <c r="S986" s="21">
        <v>0</v>
      </c>
      <c r="T986" s="3">
        <v>0</v>
      </c>
      <c r="U986" s="21">
        <v>200000</v>
      </c>
    </row>
    <row r="987" spans="1:258" ht="21.95" customHeight="1">
      <c r="A987" s="52" t="s">
        <v>1809</v>
      </c>
      <c r="B987" s="24" t="s">
        <v>746</v>
      </c>
      <c r="C987" s="1">
        <f t="shared" si="272"/>
        <v>4913290</v>
      </c>
      <c r="D987" s="21">
        <f t="shared" si="271"/>
        <v>0</v>
      </c>
      <c r="E987" s="21">
        <v>0</v>
      </c>
      <c r="F987" s="21">
        <v>0</v>
      </c>
      <c r="G987" s="21">
        <v>0</v>
      </c>
      <c r="H987" s="21">
        <v>0</v>
      </c>
      <c r="I987" s="21">
        <v>0</v>
      </c>
      <c r="J987" s="21">
        <v>0</v>
      </c>
      <c r="K987" s="5">
        <v>0</v>
      </c>
      <c r="L987" s="3">
        <v>0</v>
      </c>
      <c r="M987" s="21">
        <v>889.3</v>
      </c>
      <c r="N987" s="21">
        <v>4713290</v>
      </c>
      <c r="O987" s="21">
        <v>0</v>
      </c>
      <c r="P987" s="21">
        <v>0</v>
      </c>
      <c r="Q987" s="21">
        <v>0</v>
      </c>
      <c r="R987" s="21">
        <v>0</v>
      </c>
      <c r="S987" s="21">
        <v>0</v>
      </c>
      <c r="T987" s="3">
        <v>0</v>
      </c>
      <c r="U987" s="21">
        <v>200000</v>
      </c>
    </row>
    <row r="988" spans="1:258" ht="21.95" customHeight="1">
      <c r="A988" s="52" t="s">
        <v>1810</v>
      </c>
      <c r="B988" s="24" t="s">
        <v>747</v>
      </c>
      <c r="C988" s="1">
        <f t="shared" si="272"/>
        <v>2560090</v>
      </c>
      <c r="D988" s="21">
        <f t="shared" si="271"/>
        <v>0</v>
      </c>
      <c r="E988" s="21">
        <v>0</v>
      </c>
      <c r="F988" s="21">
        <v>0</v>
      </c>
      <c r="G988" s="21">
        <v>0</v>
      </c>
      <c r="H988" s="21">
        <v>0</v>
      </c>
      <c r="I988" s="21">
        <v>0</v>
      </c>
      <c r="J988" s="21">
        <v>0</v>
      </c>
      <c r="K988" s="5">
        <v>0</v>
      </c>
      <c r="L988" s="3">
        <v>0</v>
      </c>
      <c r="M988" s="3">
        <v>289</v>
      </c>
      <c r="N988" s="3">
        <v>1531700</v>
      </c>
      <c r="O988" s="3">
        <v>0</v>
      </c>
      <c r="P988" s="3">
        <v>0</v>
      </c>
      <c r="Q988" s="3">
        <v>318</v>
      </c>
      <c r="R988" s="3">
        <v>828390</v>
      </c>
      <c r="S988" s="3">
        <v>0</v>
      </c>
      <c r="T988" s="3">
        <v>0</v>
      </c>
      <c r="U988" s="3">
        <v>200000</v>
      </c>
      <c r="V988" s="49"/>
      <c r="W988" s="49"/>
      <c r="X988" s="49"/>
      <c r="Y988" s="49"/>
      <c r="Z988" s="49"/>
      <c r="AA988" s="49"/>
      <c r="AB988" s="49"/>
      <c r="AC988" s="49"/>
      <c r="AD988" s="49"/>
      <c r="AE988" s="49"/>
      <c r="AF988" s="49"/>
      <c r="AG988" s="49"/>
      <c r="AH988" s="49"/>
      <c r="AI988" s="49"/>
      <c r="AJ988" s="49"/>
      <c r="AK988" s="49"/>
      <c r="AL988" s="49"/>
      <c r="AM988" s="49"/>
      <c r="AN988" s="49"/>
      <c r="AO988" s="49"/>
      <c r="AP988" s="49"/>
      <c r="AQ988" s="49"/>
      <c r="AR988" s="49"/>
      <c r="AS988" s="49"/>
      <c r="AT988" s="49"/>
      <c r="AU988" s="49"/>
      <c r="AV988" s="49"/>
      <c r="AW988" s="49"/>
      <c r="AX988" s="49"/>
      <c r="AY988" s="49"/>
      <c r="AZ988" s="49"/>
      <c r="BA988" s="49"/>
      <c r="BB988" s="49"/>
      <c r="BC988" s="49"/>
      <c r="BD988" s="49"/>
      <c r="BE988" s="49"/>
      <c r="BF988" s="49"/>
      <c r="BG988" s="49"/>
      <c r="BH988" s="49"/>
      <c r="BI988" s="49"/>
      <c r="BJ988" s="49"/>
      <c r="BK988" s="49"/>
      <c r="BL988" s="49"/>
      <c r="BM988" s="49"/>
      <c r="BN988" s="49"/>
      <c r="BO988" s="49"/>
      <c r="BP988" s="49"/>
      <c r="BQ988" s="49"/>
      <c r="BR988" s="49"/>
      <c r="BS988" s="49"/>
      <c r="BT988" s="49"/>
      <c r="BU988" s="49"/>
      <c r="BV988" s="49"/>
      <c r="BW988" s="49"/>
      <c r="BX988" s="49"/>
      <c r="BY988" s="49"/>
      <c r="BZ988" s="49"/>
      <c r="CA988" s="49"/>
      <c r="CB988" s="49"/>
      <c r="CC988" s="49"/>
      <c r="CD988" s="49"/>
      <c r="CE988" s="49"/>
      <c r="CF988" s="49"/>
      <c r="CG988" s="49"/>
      <c r="CH988" s="49"/>
      <c r="CI988" s="49"/>
      <c r="CJ988" s="49"/>
      <c r="CK988" s="49"/>
      <c r="CL988" s="49"/>
      <c r="CM988" s="49"/>
      <c r="CN988" s="49"/>
      <c r="CO988" s="49"/>
      <c r="CP988" s="49"/>
      <c r="CQ988" s="49"/>
      <c r="CR988" s="49"/>
      <c r="CS988" s="49"/>
      <c r="CT988" s="49"/>
      <c r="CU988" s="49"/>
      <c r="CV988" s="49"/>
      <c r="CW988" s="49"/>
      <c r="CX988" s="49"/>
      <c r="CY988" s="49"/>
      <c r="CZ988" s="49"/>
      <c r="DA988" s="49"/>
      <c r="DB988" s="49"/>
      <c r="DC988" s="49"/>
      <c r="DD988" s="49"/>
      <c r="DE988" s="49"/>
      <c r="DF988" s="49"/>
      <c r="DG988" s="49"/>
      <c r="DH988" s="49"/>
      <c r="DI988" s="49"/>
      <c r="DJ988" s="49"/>
      <c r="DK988" s="49"/>
      <c r="DL988" s="49"/>
      <c r="DM988" s="49"/>
      <c r="DN988" s="49"/>
      <c r="DO988" s="49"/>
      <c r="DP988" s="49"/>
      <c r="DQ988" s="49"/>
      <c r="DR988" s="49"/>
      <c r="DS988" s="49"/>
      <c r="DT988" s="49"/>
      <c r="DU988" s="49"/>
      <c r="DV988" s="49"/>
      <c r="DW988" s="49"/>
      <c r="DX988" s="49"/>
      <c r="DY988" s="49"/>
      <c r="DZ988" s="49"/>
      <c r="EA988" s="49"/>
      <c r="EB988" s="49"/>
      <c r="EC988" s="49"/>
      <c r="ED988" s="49"/>
      <c r="EE988" s="49"/>
      <c r="EF988" s="49"/>
      <c r="EG988" s="49"/>
      <c r="EH988" s="49"/>
      <c r="EI988" s="49"/>
      <c r="EJ988" s="49"/>
      <c r="EK988" s="49"/>
      <c r="EL988" s="49"/>
      <c r="EM988" s="49"/>
      <c r="EN988" s="49"/>
      <c r="EO988" s="49"/>
      <c r="EP988" s="49"/>
      <c r="EQ988" s="49"/>
      <c r="ER988" s="49"/>
      <c r="ES988" s="49"/>
      <c r="ET988" s="49"/>
      <c r="EU988" s="49"/>
      <c r="EV988" s="49"/>
      <c r="EW988" s="49"/>
      <c r="EX988" s="49"/>
      <c r="EY988" s="49"/>
      <c r="EZ988" s="49"/>
      <c r="FA988" s="49"/>
      <c r="FB988" s="49"/>
      <c r="FC988" s="49"/>
      <c r="FD988" s="49"/>
      <c r="FE988" s="49"/>
      <c r="FF988" s="49"/>
      <c r="FG988" s="49"/>
      <c r="FH988" s="49"/>
      <c r="FI988" s="49"/>
      <c r="FJ988" s="49"/>
      <c r="FK988" s="49"/>
      <c r="FL988" s="49"/>
      <c r="FM988" s="49"/>
      <c r="FN988" s="49"/>
      <c r="FO988" s="49"/>
      <c r="FP988" s="49"/>
      <c r="FQ988" s="49"/>
      <c r="FR988" s="49"/>
      <c r="FS988" s="49"/>
      <c r="FT988" s="49"/>
      <c r="FU988" s="49"/>
      <c r="FV988" s="49"/>
      <c r="FW988" s="49"/>
      <c r="FX988" s="49"/>
      <c r="FY988" s="49"/>
      <c r="FZ988" s="49"/>
      <c r="GA988" s="49"/>
      <c r="GB988" s="49"/>
      <c r="GC988" s="49"/>
      <c r="GD988" s="49"/>
      <c r="GE988" s="49"/>
      <c r="GF988" s="49"/>
      <c r="GG988" s="49"/>
      <c r="GH988" s="49"/>
      <c r="GI988" s="49"/>
      <c r="GJ988" s="6"/>
      <c r="GK988" s="6"/>
      <c r="GL988" s="6"/>
      <c r="GM988" s="6"/>
      <c r="GN988" s="6"/>
      <c r="GO988" s="6"/>
      <c r="GP988" s="6"/>
      <c r="GQ988" s="6"/>
      <c r="GR988" s="6"/>
      <c r="GS988" s="6"/>
      <c r="GT988" s="6"/>
      <c r="GU988" s="6"/>
      <c r="GV988" s="6"/>
      <c r="GW988" s="6"/>
      <c r="GX988" s="6"/>
      <c r="GY988" s="6"/>
      <c r="GZ988" s="6"/>
      <c r="HA988" s="6"/>
      <c r="HB988" s="6"/>
      <c r="HC988" s="6"/>
      <c r="HD988" s="6"/>
      <c r="HE988" s="6"/>
      <c r="HF988" s="6"/>
      <c r="HG988" s="6"/>
      <c r="HH988" s="6"/>
      <c r="HI988" s="6"/>
      <c r="HJ988" s="6"/>
      <c r="HK988" s="6"/>
      <c r="HL988" s="6"/>
      <c r="HM988" s="6"/>
      <c r="HN988" s="6"/>
      <c r="HO988" s="6"/>
      <c r="HP988" s="6"/>
      <c r="HQ988" s="6"/>
      <c r="HR988" s="6"/>
      <c r="HS988" s="6"/>
      <c r="HT988" s="6"/>
      <c r="HU988" s="6"/>
      <c r="HV988" s="6"/>
      <c r="HW988" s="6"/>
      <c r="HX988" s="6"/>
      <c r="HY988" s="6"/>
      <c r="HZ988" s="6"/>
      <c r="IA988" s="6"/>
      <c r="IB988" s="6"/>
      <c r="IC988" s="6"/>
      <c r="ID988" s="6"/>
      <c r="IE988" s="6"/>
      <c r="IF988" s="6"/>
      <c r="IG988" s="6"/>
      <c r="IH988" s="6"/>
      <c r="II988" s="6"/>
      <c r="IJ988" s="6"/>
      <c r="IK988" s="6"/>
      <c r="IL988" s="6"/>
      <c r="IM988" s="6"/>
      <c r="IN988" s="6"/>
      <c r="IO988" s="6"/>
      <c r="IP988" s="6"/>
      <c r="IQ988" s="6"/>
      <c r="IR988" s="6"/>
      <c r="IS988" s="6"/>
      <c r="IT988" s="6"/>
      <c r="IU988" s="6"/>
      <c r="IV988" s="6"/>
      <c r="IW988" s="6"/>
      <c r="IX988" s="6"/>
    </row>
    <row r="989" spans="1:258" s="9" customFormat="1" ht="21.95" customHeight="1">
      <c r="A989" s="52" t="s">
        <v>1811</v>
      </c>
      <c r="B989" s="30" t="s">
        <v>748</v>
      </c>
      <c r="C989" s="1">
        <f t="shared" si="272"/>
        <v>3051400</v>
      </c>
      <c r="D989" s="21">
        <f t="shared" si="271"/>
        <v>0</v>
      </c>
      <c r="E989" s="21">
        <v>0</v>
      </c>
      <c r="F989" s="21">
        <v>0</v>
      </c>
      <c r="G989" s="21">
        <v>0</v>
      </c>
      <c r="H989" s="21">
        <v>0</v>
      </c>
      <c r="I989" s="21">
        <v>0</v>
      </c>
      <c r="J989" s="21">
        <v>0</v>
      </c>
      <c r="K989" s="40">
        <v>0</v>
      </c>
      <c r="L989" s="21">
        <v>0</v>
      </c>
      <c r="M989" s="21">
        <v>538</v>
      </c>
      <c r="N989" s="21">
        <v>2851400</v>
      </c>
      <c r="O989" s="21">
        <v>0</v>
      </c>
      <c r="P989" s="21">
        <v>0</v>
      </c>
      <c r="Q989" s="21">
        <v>0</v>
      </c>
      <c r="R989" s="21">
        <v>0</v>
      </c>
      <c r="S989" s="21">
        <v>0</v>
      </c>
      <c r="T989" s="3">
        <v>0</v>
      </c>
      <c r="U989" s="21">
        <v>200000</v>
      </c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  <c r="FE989" s="2"/>
      <c r="FF989" s="2"/>
      <c r="FG989" s="2"/>
      <c r="FH989" s="2"/>
      <c r="FI989" s="2"/>
      <c r="FJ989" s="2"/>
      <c r="FK989" s="2"/>
      <c r="FL989" s="2"/>
      <c r="FM989" s="2"/>
      <c r="FN989" s="2"/>
      <c r="FO989" s="2"/>
      <c r="FP989" s="2"/>
      <c r="FQ989" s="2"/>
      <c r="FR989" s="2"/>
      <c r="FS989" s="2"/>
      <c r="FT989" s="2"/>
      <c r="FU989" s="2"/>
      <c r="FV989" s="2"/>
      <c r="FW989" s="2"/>
      <c r="FX989" s="2"/>
      <c r="FY989" s="2"/>
      <c r="FZ989" s="2"/>
      <c r="GA989" s="2"/>
      <c r="GB989" s="2"/>
      <c r="GC989" s="2"/>
      <c r="GD989" s="2"/>
      <c r="GE989" s="2"/>
      <c r="GF989" s="2"/>
      <c r="GG989" s="2"/>
      <c r="GH989" s="2"/>
      <c r="GI989" s="2"/>
      <c r="GJ989" s="2"/>
      <c r="GK989" s="2"/>
      <c r="GL989" s="2"/>
      <c r="GM989" s="2"/>
      <c r="GN989" s="2"/>
      <c r="GO989" s="2"/>
      <c r="GP989" s="2"/>
      <c r="GQ989" s="2"/>
      <c r="GR989" s="2"/>
      <c r="GS989" s="2"/>
      <c r="GT989" s="2"/>
      <c r="GU989" s="2"/>
      <c r="GV989" s="2"/>
      <c r="GW989" s="2"/>
      <c r="GX989" s="2"/>
      <c r="GY989" s="2"/>
      <c r="GZ989" s="2"/>
      <c r="HA989" s="2"/>
      <c r="HB989" s="2"/>
      <c r="HC989" s="2"/>
      <c r="HD989" s="2"/>
      <c r="HE989" s="2"/>
      <c r="HF989" s="2"/>
      <c r="HG989" s="2"/>
      <c r="HH989" s="2"/>
      <c r="HI989" s="2"/>
      <c r="HJ989" s="2"/>
      <c r="HK989" s="2"/>
      <c r="HL989" s="2"/>
      <c r="HM989" s="2"/>
      <c r="HN989" s="2"/>
      <c r="HO989" s="2"/>
      <c r="HP989" s="2"/>
      <c r="HQ989" s="2"/>
      <c r="HR989" s="2"/>
      <c r="HS989" s="2"/>
      <c r="HT989" s="2"/>
      <c r="HU989" s="2"/>
      <c r="HV989" s="2"/>
      <c r="HW989" s="2"/>
      <c r="HX989" s="2"/>
      <c r="HY989" s="2"/>
      <c r="HZ989" s="2"/>
      <c r="IA989" s="2"/>
      <c r="IB989" s="2"/>
      <c r="IC989" s="2"/>
      <c r="ID989" s="2"/>
      <c r="IE989" s="2"/>
      <c r="IF989" s="2"/>
      <c r="IG989" s="2"/>
      <c r="IH989" s="2"/>
      <c r="II989" s="2"/>
      <c r="IJ989" s="2"/>
      <c r="IK989" s="2"/>
      <c r="IL989" s="2"/>
      <c r="IM989" s="2"/>
      <c r="IN989" s="2"/>
      <c r="IO989" s="2"/>
      <c r="IP989" s="2"/>
      <c r="IQ989" s="2"/>
      <c r="IR989" s="2"/>
      <c r="IS989" s="2"/>
      <c r="IT989" s="2"/>
      <c r="IU989" s="2"/>
      <c r="IV989" s="2"/>
      <c r="IW989" s="2"/>
      <c r="IX989" s="2"/>
    </row>
    <row r="990" spans="1:258" s="12" customFormat="1" ht="21.95" customHeight="1">
      <c r="A990" s="52" t="s">
        <v>1812</v>
      </c>
      <c r="B990" s="30" t="s">
        <v>824</v>
      </c>
      <c r="C990" s="1">
        <f t="shared" si="272"/>
        <v>3640760</v>
      </c>
      <c r="D990" s="21">
        <f t="shared" si="271"/>
        <v>0</v>
      </c>
      <c r="E990" s="21">
        <v>0</v>
      </c>
      <c r="F990" s="21">
        <v>0</v>
      </c>
      <c r="G990" s="21">
        <v>0</v>
      </c>
      <c r="H990" s="21">
        <v>0</v>
      </c>
      <c r="I990" s="21">
        <v>0</v>
      </c>
      <c r="J990" s="21">
        <v>0</v>
      </c>
      <c r="K990" s="40">
        <v>0</v>
      </c>
      <c r="L990" s="21">
        <v>0</v>
      </c>
      <c r="M990" s="3">
        <v>649.20000000000005</v>
      </c>
      <c r="N990" s="3">
        <v>3440760</v>
      </c>
      <c r="O990" s="21">
        <v>0</v>
      </c>
      <c r="P990" s="21">
        <v>0</v>
      </c>
      <c r="Q990" s="21">
        <v>0</v>
      </c>
      <c r="R990" s="21">
        <v>0</v>
      </c>
      <c r="S990" s="21">
        <v>0</v>
      </c>
      <c r="T990" s="3">
        <v>0</v>
      </c>
      <c r="U990" s="21">
        <v>200000</v>
      </c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  <c r="FE990" s="2"/>
      <c r="FF990" s="2"/>
      <c r="FG990" s="2"/>
      <c r="FH990" s="2"/>
      <c r="FI990" s="2"/>
      <c r="FJ990" s="2"/>
      <c r="FK990" s="2"/>
      <c r="FL990" s="2"/>
      <c r="FM990" s="2"/>
      <c r="FN990" s="2"/>
      <c r="FO990" s="2"/>
      <c r="FP990" s="2"/>
      <c r="FQ990" s="2"/>
      <c r="FR990" s="2"/>
      <c r="FS990" s="2"/>
      <c r="FT990" s="2"/>
      <c r="FU990" s="2"/>
      <c r="FV990" s="2"/>
      <c r="FW990" s="2"/>
      <c r="FX990" s="2"/>
      <c r="FY990" s="2"/>
      <c r="FZ990" s="2"/>
      <c r="GA990" s="2"/>
      <c r="GB990" s="2"/>
      <c r="GC990" s="2"/>
      <c r="GD990" s="2"/>
      <c r="GE990" s="2"/>
      <c r="GF990" s="2"/>
      <c r="GG990" s="2"/>
      <c r="GH990" s="2"/>
      <c r="GI990" s="2"/>
      <c r="GJ990" s="2"/>
      <c r="GK990" s="2"/>
      <c r="GL990" s="2"/>
      <c r="GM990" s="2"/>
      <c r="GN990" s="2"/>
      <c r="GO990" s="2"/>
      <c r="GP990" s="2"/>
      <c r="GQ990" s="2"/>
      <c r="GR990" s="2"/>
      <c r="GS990" s="2"/>
      <c r="GT990" s="2"/>
      <c r="GU990" s="2"/>
      <c r="GV990" s="2"/>
      <c r="GW990" s="2"/>
      <c r="GX990" s="2"/>
      <c r="GY990" s="2"/>
      <c r="GZ990" s="2"/>
      <c r="HA990" s="2"/>
      <c r="HB990" s="2"/>
      <c r="HC990" s="2"/>
      <c r="HD990" s="2"/>
      <c r="HE990" s="2"/>
      <c r="HF990" s="2"/>
      <c r="HG990" s="2"/>
      <c r="HH990" s="2"/>
      <c r="HI990" s="2"/>
      <c r="HJ990" s="2"/>
      <c r="HK990" s="2"/>
      <c r="HL990" s="2"/>
      <c r="HM990" s="2"/>
      <c r="HN990" s="2"/>
      <c r="HO990" s="2"/>
      <c r="HP990" s="2"/>
      <c r="HQ990" s="2"/>
      <c r="HR990" s="2"/>
      <c r="HS990" s="2"/>
      <c r="HT990" s="2"/>
      <c r="HU990" s="2"/>
      <c r="HV990" s="2"/>
      <c r="HW990" s="2"/>
      <c r="HX990" s="2"/>
      <c r="HY990" s="2"/>
      <c r="HZ990" s="2"/>
      <c r="IA990" s="2"/>
      <c r="IB990" s="2"/>
      <c r="IC990" s="2"/>
      <c r="ID990" s="2"/>
      <c r="IE990" s="2"/>
      <c r="IF990" s="2"/>
      <c r="IG990" s="2"/>
      <c r="IH990" s="2"/>
      <c r="II990" s="2"/>
      <c r="IJ990" s="2"/>
      <c r="IK990" s="2"/>
      <c r="IL990" s="2"/>
      <c r="IM990" s="2"/>
      <c r="IN990" s="2"/>
      <c r="IO990" s="2"/>
      <c r="IP990" s="2"/>
      <c r="IQ990" s="2"/>
      <c r="IR990" s="2"/>
      <c r="IS990" s="2"/>
      <c r="IT990" s="2"/>
      <c r="IU990" s="2"/>
      <c r="IV990" s="2"/>
      <c r="IW990" s="2"/>
      <c r="IX990" s="2"/>
    </row>
    <row r="991" spans="1:258" s="9" customFormat="1" ht="21.95" customHeight="1">
      <c r="A991" s="52" t="s">
        <v>1813</v>
      </c>
      <c r="B991" s="24" t="s">
        <v>825</v>
      </c>
      <c r="C991" s="1">
        <f t="shared" si="272"/>
        <v>3656660</v>
      </c>
      <c r="D991" s="21">
        <f t="shared" si="271"/>
        <v>0</v>
      </c>
      <c r="E991" s="21">
        <v>0</v>
      </c>
      <c r="F991" s="21">
        <v>0</v>
      </c>
      <c r="G991" s="21">
        <v>0</v>
      </c>
      <c r="H991" s="21">
        <v>0</v>
      </c>
      <c r="I991" s="21">
        <v>0</v>
      </c>
      <c r="J991" s="21">
        <v>0</v>
      </c>
      <c r="K991" s="40">
        <v>0</v>
      </c>
      <c r="L991" s="21">
        <v>0</v>
      </c>
      <c r="M991" s="3">
        <v>652.20000000000005</v>
      </c>
      <c r="N991" s="3">
        <v>3456660</v>
      </c>
      <c r="O991" s="21">
        <v>0</v>
      </c>
      <c r="P991" s="21">
        <v>0</v>
      </c>
      <c r="Q991" s="21">
        <v>0</v>
      </c>
      <c r="R991" s="21">
        <v>0</v>
      </c>
      <c r="S991" s="21">
        <v>0</v>
      </c>
      <c r="T991" s="3">
        <v>0</v>
      </c>
      <c r="U991" s="21">
        <v>200000</v>
      </c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  <c r="FE991" s="2"/>
      <c r="FF991" s="2"/>
      <c r="FG991" s="2"/>
      <c r="FH991" s="2"/>
      <c r="FI991" s="2"/>
      <c r="FJ991" s="2"/>
      <c r="FK991" s="2"/>
      <c r="FL991" s="2"/>
      <c r="FM991" s="2"/>
      <c r="FN991" s="2"/>
      <c r="FO991" s="2"/>
      <c r="FP991" s="2"/>
      <c r="FQ991" s="2"/>
      <c r="FR991" s="2"/>
      <c r="FS991" s="2"/>
      <c r="FT991" s="2"/>
      <c r="FU991" s="2"/>
      <c r="FV991" s="2"/>
      <c r="FW991" s="2"/>
      <c r="FX991" s="2"/>
      <c r="FY991" s="2"/>
      <c r="FZ991" s="2"/>
      <c r="GA991" s="2"/>
      <c r="GB991" s="2"/>
      <c r="GC991" s="2"/>
      <c r="GD991" s="2"/>
      <c r="GE991" s="2"/>
      <c r="GF991" s="2"/>
      <c r="GG991" s="2"/>
      <c r="GH991" s="2"/>
      <c r="GI991" s="2"/>
      <c r="GJ991" s="2"/>
      <c r="GK991" s="2"/>
      <c r="GL991" s="2"/>
      <c r="GM991" s="2"/>
      <c r="GN991" s="2"/>
      <c r="GO991" s="2"/>
      <c r="GP991" s="2"/>
      <c r="GQ991" s="2"/>
      <c r="GR991" s="2"/>
      <c r="GS991" s="2"/>
      <c r="GT991" s="2"/>
      <c r="GU991" s="2"/>
      <c r="GV991" s="2"/>
      <c r="GW991" s="2"/>
      <c r="GX991" s="2"/>
      <c r="GY991" s="2"/>
      <c r="GZ991" s="2"/>
      <c r="HA991" s="2"/>
      <c r="HB991" s="2"/>
      <c r="HC991" s="2"/>
      <c r="HD991" s="2"/>
      <c r="HE991" s="2"/>
      <c r="HF991" s="2"/>
      <c r="HG991" s="2"/>
      <c r="HH991" s="2"/>
      <c r="HI991" s="2"/>
      <c r="HJ991" s="2"/>
      <c r="HK991" s="2"/>
      <c r="HL991" s="2"/>
      <c r="HM991" s="2"/>
      <c r="HN991" s="2"/>
      <c r="HO991" s="2"/>
      <c r="HP991" s="2"/>
      <c r="HQ991" s="2"/>
      <c r="HR991" s="2"/>
      <c r="HS991" s="2"/>
      <c r="HT991" s="2"/>
      <c r="HU991" s="2"/>
      <c r="HV991" s="2"/>
      <c r="HW991" s="2"/>
      <c r="HX991" s="2"/>
      <c r="HY991" s="2"/>
      <c r="HZ991" s="2"/>
      <c r="IA991" s="2"/>
      <c r="IB991" s="2"/>
      <c r="IC991" s="2"/>
      <c r="ID991" s="2"/>
      <c r="IE991" s="2"/>
      <c r="IF991" s="2"/>
      <c r="IG991" s="2"/>
      <c r="IH991" s="2"/>
      <c r="II991" s="2"/>
      <c r="IJ991" s="2"/>
      <c r="IK991" s="2"/>
      <c r="IL991" s="2"/>
      <c r="IM991" s="2"/>
      <c r="IN991" s="2"/>
      <c r="IO991" s="2"/>
      <c r="IP991" s="2"/>
      <c r="IQ991" s="2"/>
      <c r="IR991" s="2"/>
      <c r="IS991" s="2"/>
      <c r="IT991" s="2"/>
      <c r="IU991" s="2"/>
      <c r="IV991" s="2"/>
      <c r="IW991" s="2"/>
      <c r="IX991" s="2"/>
    </row>
    <row r="992" spans="1:258" s="9" customFormat="1" ht="21.95" customHeight="1">
      <c r="A992" s="52" t="s">
        <v>1814</v>
      </c>
      <c r="B992" s="24" t="s">
        <v>826</v>
      </c>
      <c r="C992" s="1">
        <f t="shared" si="272"/>
        <v>2734400</v>
      </c>
      <c r="D992" s="21">
        <f t="shared" si="271"/>
        <v>0</v>
      </c>
      <c r="E992" s="21">
        <v>0</v>
      </c>
      <c r="F992" s="21">
        <v>0</v>
      </c>
      <c r="G992" s="21">
        <v>0</v>
      </c>
      <c r="H992" s="21">
        <v>0</v>
      </c>
      <c r="I992" s="21">
        <v>0</v>
      </c>
      <c r="J992" s="21">
        <v>0</v>
      </c>
      <c r="K992" s="40">
        <v>0</v>
      </c>
      <c r="L992" s="21">
        <v>0</v>
      </c>
      <c r="M992" s="3">
        <v>768</v>
      </c>
      <c r="N992" s="3">
        <v>2534400</v>
      </c>
      <c r="O992" s="21">
        <v>0</v>
      </c>
      <c r="P992" s="21">
        <v>0</v>
      </c>
      <c r="Q992" s="21">
        <v>0</v>
      </c>
      <c r="R992" s="21">
        <v>0</v>
      </c>
      <c r="S992" s="21">
        <v>0</v>
      </c>
      <c r="T992" s="3">
        <v>0</v>
      </c>
      <c r="U992" s="21">
        <v>200000</v>
      </c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  <c r="FE992" s="2"/>
      <c r="FF992" s="2"/>
      <c r="FG992" s="2"/>
      <c r="FH992" s="2"/>
      <c r="FI992" s="2"/>
      <c r="FJ992" s="2"/>
      <c r="FK992" s="2"/>
      <c r="FL992" s="2"/>
      <c r="FM992" s="2"/>
      <c r="FN992" s="2"/>
      <c r="FO992" s="2"/>
      <c r="FP992" s="2"/>
      <c r="FQ992" s="2"/>
      <c r="FR992" s="2"/>
      <c r="FS992" s="2"/>
      <c r="FT992" s="2"/>
      <c r="FU992" s="2"/>
      <c r="FV992" s="2"/>
      <c r="FW992" s="2"/>
      <c r="FX992" s="2"/>
      <c r="FY992" s="2"/>
      <c r="FZ992" s="2"/>
      <c r="GA992" s="2"/>
      <c r="GB992" s="2"/>
      <c r="GC992" s="2"/>
      <c r="GD992" s="2"/>
      <c r="GE992" s="2"/>
      <c r="GF992" s="2"/>
      <c r="GG992" s="2"/>
      <c r="GH992" s="2"/>
      <c r="GI992" s="2"/>
      <c r="GJ992" s="2"/>
      <c r="GK992" s="2"/>
      <c r="GL992" s="2"/>
      <c r="GM992" s="2"/>
      <c r="GN992" s="2"/>
      <c r="GO992" s="2"/>
      <c r="GP992" s="2"/>
      <c r="GQ992" s="2"/>
      <c r="GR992" s="2"/>
      <c r="GS992" s="2"/>
      <c r="GT992" s="2"/>
      <c r="GU992" s="2"/>
      <c r="GV992" s="2"/>
      <c r="GW992" s="2"/>
      <c r="GX992" s="2"/>
      <c r="GY992" s="2"/>
      <c r="GZ992" s="2"/>
      <c r="HA992" s="2"/>
      <c r="HB992" s="2"/>
      <c r="HC992" s="2"/>
      <c r="HD992" s="2"/>
      <c r="HE992" s="2"/>
      <c r="HF992" s="2"/>
      <c r="HG992" s="2"/>
      <c r="HH992" s="2"/>
      <c r="HI992" s="2"/>
      <c r="HJ992" s="2"/>
      <c r="HK992" s="2"/>
      <c r="HL992" s="2"/>
      <c r="HM992" s="2"/>
      <c r="HN992" s="2"/>
      <c r="HO992" s="2"/>
      <c r="HP992" s="2"/>
      <c r="HQ992" s="2"/>
      <c r="HR992" s="2"/>
      <c r="HS992" s="2"/>
      <c r="HT992" s="2"/>
      <c r="HU992" s="2"/>
      <c r="HV992" s="2"/>
      <c r="HW992" s="2"/>
      <c r="HX992" s="2"/>
      <c r="HY992" s="2"/>
      <c r="HZ992" s="2"/>
      <c r="IA992" s="2"/>
      <c r="IB992" s="2"/>
      <c r="IC992" s="2"/>
      <c r="ID992" s="2"/>
      <c r="IE992" s="2"/>
      <c r="IF992" s="2"/>
      <c r="IG992" s="2"/>
      <c r="IH992" s="2"/>
      <c r="II992" s="2"/>
      <c r="IJ992" s="2"/>
      <c r="IK992" s="2"/>
      <c r="IL992" s="2"/>
      <c r="IM992" s="2"/>
      <c r="IN992" s="2"/>
      <c r="IO992" s="2"/>
      <c r="IP992" s="2"/>
      <c r="IQ992" s="2"/>
      <c r="IR992" s="2"/>
      <c r="IS992" s="2"/>
      <c r="IT992" s="2"/>
      <c r="IU992" s="2"/>
      <c r="IV992" s="2"/>
      <c r="IW992" s="2"/>
      <c r="IX992" s="2"/>
    </row>
    <row r="993" spans="1:258" ht="21.95" customHeight="1">
      <c r="A993" s="52" t="s">
        <v>1815</v>
      </c>
      <c r="B993" s="30" t="s">
        <v>827</v>
      </c>
      <c r="C993" s="1">
        <f t="shared" si="272"/>
        <v>3224180</v>
      </c>
      <c r="D993" s="21">
        <f t="shared" si="271"/>
        <v>0</v>
      </c>
      <c r="E993" s="21">
        <v>0</v>
      </c>
      <c r="F993" s="21">
        <v>0</v>
      </c>
      <c r="G993" s="21">
        <v>0</v>
      </c>
      <c r="H993" s="21">
        <v>0</v>
      </c>
      <c r="I993" s="21">
        <v>0</v>
      </c>
      <c r="J993" s="21">
        <v>0</v>
      </c>
      <c r="K993" s="40">
        <v>0</v>
      </c>
      <c r="L993" s="21">
        <v>0</v>
      </c>
      <c r="M993" s="3">
        <v>570.6</v>
      </c>
      <c r="N993" s="3">
        <v>3024180</v>
      </c>
      <c r="O993" s="21">
        <v>0</v>
      </c>
      <c r="P993" s="21">
        <v>0</v>
      </c>
      <c r="Q993" s="21">
        <v>0</v>
      </c>
      <c r="R993" s="21">
        <v>0</v>
      </c>
      <c r="S993" s="21">
        <v>0</v>
      </c>
      <c r="T993" s="3">
        <v>0</v>
      </c>
      <c r="U993" s="21">
        <v>200000</v>
      </c>
    </row>
    <row r="994" spans="1:258" ht="21.95" customHeight="1">
      <c r="A994" s="52" t="s">
        <v>1816</v>
      </c>
      <c r="B994" s="30" t="s">
        <v>828</v>
      </c>
      <c r="C994" s="1">
        <f t="shared" si="272"/>
        <v>3204040</v>
      </c>
      <c r="D994" s="21">
        <f t="shared" si="271"/>
        <v>0</v>
      </c>
      <c r="E994" s="21">
        <v>0</v>
      </c>
      <c r="F994" s="21">
        <v>0</v>
      </c>
      <c r="G994" s="21">
        <v>0</v>
      </c>
      <c r="H994" s="21">
        <v>0</v>
      </c>
      <c r="I994" s="21">
        <v>0</v>
      </c>
      <c r="J994" s="21">
        <v>0</v>
      </c>
      <c r="K994" s="40">
        <v>0</v>
      </c>
      <c r="L994" s="21">
        <v>0</v>
      </c>
      <c r="M994" s="3">
        <v>566.79999999999995</v>
      </c>
      <c r="N994" s="3">
        <v>3004040</v>
      </c>
      <c r="O994" s="21">
        <v>0</v>
      </c>
      <c r="P994" s="21">
        <v>0</v>
      </c>
      <c r="Q994" s="21">
        <v>0</v>
      </c>
      <c r="R994" s="21">
        <v>0</v>
      </c>
      <c r="S994" s="21">
        <v>0</v>
      </c>
      <c r="T994" s="3">
        <v>0</v>
      </c>
      <c r="U994" s="21">
        <v>200000</v>
      </c>
    </row>
    <row r="995" spans="1:258" ht="21.95" customHeight="1">
      <c r="A995" s="52" t="s">
        <v>1817</v>
      </c>
      <c r="B995" s="30" t="s">
        <v>829</v>
      </c>
      <c r="C995" s="1">
        <f t="shared" si="272"/>
        <v>3204040</v>
      </c>
      <c r="D995" s="21">
        <f t="shared" si="271"/>
        <v>0</v>
      </c>
      <c r="E995" s="21">
        <v>0</v>
      </c>
      <c r="F995" s="21">
        <v>0</v>
      </c>
      <c r="G995" s="21">
        <v>0</v>
      </c>
      <c r="H995" s="21">
        <v>0</v>
      </c>
      <c r="I995" s="21">
        <v>0</v>
      </c>
      <c r="J995" s="21">
        <v>0</v>
      </c>
      <c r="K995" s="40">
        <v>0</v>
      </c>
      <c r="L995" s="21">
        <v>0</v>
      </c>
      <c r="M995" s="3">
        <v>566.79999999999995</v>
      </c>
      <c r="N995" s="3">
        <v>3004040</v>
      </c>
      <c r="O995" s="21">
        <v>0</v>
      </c>
      <c r="P995" s="21">
        <v>0</v>
      </c>
      <c r="Q995" s="21">
        <v>0</v>
      </c>
      <c r="R995" s="21">
        <v>0</v>
      </c>
      <c r="S995" s="21">
        <v>0</v>
      </c>
      <c r="T995" s="3">
        <v>0</v>
      </c>
      <c r="U995" s="21">
        <v>200000</v>
      </c>
    </row>
    <row r="996" spans="1:258" s="8" customFormat="1" ht="21.95" customHeight="1">
      <c r="A996" s="52" t="s">
        <v>1818</v>
      </c>
      <c r="B996" s="24" t="s">
        <v>749</v>
      </c>
      <c r="C996" s="1">
        <f t="shared" si="272"/>
        <v>3205630</v>
      </c>
      <c r="D996" s="21">
        <f t="shared" si="271"/>
        <v>0</v>
      </c>
      <c r="E996" s="21">
        <v>0</v>
      </c>
      <c r="F996" s="21">
        <v>0</v>
      </c>
      <c r="G996" s="21">
        <v>0</v>
      </c>
      <c r="H996" s="21">
        <v>0</v>
      </c>
      <c r="I996" s="21">
        <v>0</v>
      </c>
      <c r="J996" s="21">
        <v>0</v>
      </c>
      <c r="K996" s="40">
        <v>0</v>
      </c>
      <c r="L996" s="21">
        <v>0</v>
      </c>
      <c r="M996" s="21">
        <v>567.1</v>
      </c>
      <c r="N996" s="21">
        <v>3005630</v>
      </c>
      <c r="O996" s="21">
        <v>0</v>
      </c>
      <c r="P996" s="21">
        <v>0</v>
      </c>
      <c r="Q996" s="21">
        <v>0</v>
      </c>
      <c r="R996" s="21">
        <v>0</v>
      </c>
      <c r="S996" s="21">
        <v>0</v>
      </c>
      <c r="T996" s="3">
        <v>0</v>
      </c>
      <c r="U996" s="21">
        <v>200000</v>
      </c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  <c r="FE996" s="2"/>
      <c r="FF996" s="2"/>
      <c r="FG996" s="2"/>
      <c r="FH996" s="2"/>
      <c r="FI996" s="2"/>
      <c r="FJ996" s="2"/>
      <c r="FK996" s="2"/>
      <c r="FL996" s="2"/>
      <c r="FM996" s="2"/>
      <c r="FN996" s="2"/>
      <c r="FO996" s="2"/>
      <c r="FP996" s="2"/>
      <c r="FQ996" s="2"/>
      <c r="FR996" s="2"/>
      <c r="FS996" s="2"/>
      <c r="FT996" s="2"/>
      <c r="FU996" s="2"/>
      <c r="FV996" s="2"/>
      <c r="FW996" s="2"/>
      <c r="FX996" s="2"/>
      <c r="FY996" s="2"/>
      <c r="FZ996" s="2"/>
      <c r="GA996" s="2"/>
      <c r="GB996" s="2"/>
      <c r="GC996" s="2"/>
      <c r="GD996" s="2"/>
      <c r="GE996" s="2"/>
      <c r="GF996" s="2"/>
      <c r="GG996" s="2"/>
      <c r="GH996" s="2"/>
      <c r="GI996" s="2"/>
      <c r="GJ996" s="2"/>
      <c r="GK996" s="2"/>
      <c r="GL996" s="2"/>
      <c r="GM996" s="2"/>
      <c r="GN996" s="2"/>
      <c r="GO996" s="2"/>
      <c r="GP996" s="2"/>
      <c r="GQ996" s="2"/>
      <c r="GR996" s="2"/>
      <c r="GS996" s="2"/>
      <c r="GT996" s="2"/>
      <c r="GU996" s="2"/>
      <c r="GV996" s="2"/>
      <c r="GW996" s="2"/>
      <c r="GX996" s="2"/>
      <c r="GY996" s="2"/>
      <c r="GZ996" s="2"/>
      <c r="HA996" s="2"/>
      <c r="HB996" s="2"/>
      <c r="HC996" s="2"/>
      <c r="HD996" s="2"/>
      <c r="HE996" s="2"/>
      <c r="HF996" s="2"/>
      <c r="HG996" s="2"/>
      <c r="HH996" s="2"/>
      <c r="HI996" s="2"/>
      <c r="HJ996" s="2"/>
      <c r="HK996" s="2"/>
      <c r="HL996" s="2"/>
      <c r="HM996" s="2"/>
      <c r="HN996" s="2"/>
      <c r="HO996" s="2"/>
      <c r="HP996" s="2"/>
      <c r="HQ996" s="2"/>
      <c r="HR996" s="2"/>
      <c r="HS996" s="2"/>
      <c r="HT996" s="2"/>
      <c r="HU996" s="2"/>
      <c r="HV996" s="2"/>
      <c r="HW996" s="2"/>
      <c r="HX996" s="2"/>
      <c r="HY996" s="2"/>
      <c r="HZ996" s="2"/>
      <c r="IA996" s="2"/>
      <c r="IB996" s="2"/>
      <c r="IC996" s="2"/>
      <c r="ID996" s="2"/>
      <c r="IE996" s="2"/>
      <c r="IF996" s="2"/>
      <c r="IG996" s="2"/>
      <c r="IH996" s="2"/>
      <c r="II996" s="2"/>
      <c r="IJ996" s="2"/>
      <c r="IK996" s="2"/>
      <c r="IL996" s="2"/>
      <c r="IM996" s="2"/>
      <c r="IN996" s="2"/>
      <c r="IO996" s="2"/>
      <c r="IP996" s="2"/>
      <c r="IQ996" s="2"/>
      <c r="IR996" s="2"/>
      <c r="IS996" s="2"/>
      <c r="IT996" s="2"/>
      <c r="IU996" s="2"/>
      <c r="IV996" s="2"/>
      <c r="IW996" s="2"/>
      <c r="IX996" s="2"/>
    </row>
    <row r="997" spans="1:258" s="8" customFormat="1" ht="21.95" customHeight="1">
      <c r="A997" s="52" t="s">
        <v>1819</v>
      </c>
      <c r="B997" s="24" t="s">
        <v>750</v>
      </c>
      <c r="C997" s="1">
        <f t="shared" si="272"/>
        <v>2957590</v>
      </c>
      <c r="D997" s="21">
        <f t="shared" si="271"/>
        <v>0</v>
      </c>
      <c r="E997" s="21">
        <v>0</v>
      </c>
      <c r="F997" s="21">
        <v>0</v>
      </c>
      <c r="G997" s="21">
        <v>0</v>
      </c>
      <c r="H997" s="21">
        <v>0</v>
      </c>
      <c r="I997" s="21">
        <v>0</v>
      </c>
      <c r="J997" s="21">
        <v>0</v>
      </c>
      <c r="K997" s="40">
        <v>0</v>
      </c>
      <c r="L997" s="21">
        <v>0</v>
      </c>
      <c r="M997" s="3">
        <v>520.29999999999995</v>
      </c>
      <c r="N997" s="3">
        <v>2757590</v>
      </c>
      <c r="O997" s="21">
        <v>0</v>
      </c>
      <c r="P997" s="21">
        <v>0</v>
      </c>
      <c r="Q997" s="21">
        <v>0</v>
      </c>
      <c r="R997" s="21">
        <v>0</v>
      </c>
      <c r="S997" s="21">
        <v>0</v>
      </c>
      <c r="T997" s="3">
        <v>0</v>
      </c>
      <c r="U997" s="21">
        <v>200000</v>
      </c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  <c r="FE997" s="2"/>
      <c r="FF997" s="2"/>
      <c r="FG997" s="2"/>
      <c r="FH997" s="2"/>
      <c r="FI997" s="2"/>
      <c r="FJ997" s="2"/>
      <c r="FK997" s="2"/>
      <c r="FL997" s="2"/>
      <c r="FM997" s="2"/>
      <c r="FN997" s="2"/>
      <c r="FO997" s="2"/>
      <c r="FP997" s="2"/>
      <c r="FQ997" s="2"/>
      <c r="FR997" s="2"/>
      <c r="FS997" s="2"/>
      <c r="FT997" s="2"/>
      <c r="FU997" s="2"/>
      <c r="FV997" s="2"/>
      <c r="FW997" s="2"/>
      <c r="FX997" s="2"/>
      <c r="FY997" s="2"/>
      <c r="FZ997" s="2"/>
      <c r="GA997" s="2"/>
      <c r="GB997" s="2"/>
      <c r="GC997" s="2"/>
      <c r="GD997" s="2"/>
      <c r="GE997" s="2"/>
      <c r="GF997" s="2"/>
      <c r="GG997" s="2"/>
      <c r="GH997" s="2"/>
      <c r="GI997" s="2"/>
      <c r="GJ997" s="2"/>
      <c r="GK997" s="2"/>
      <c r="GL997" s="2"/>
      <c r="GM997" s="2"/>
      <c r="GN997" s="2"/>
      <c r="GO997" s="2"/>
      <c r="GP997" s="2"/>
      <c r="GQ997" s="2"/>
      <c r="GR997" s="2"/>
      <c r="GS997" s="2"/>
      <c r="GT997" s="2"/>
      <c r="GU997" s="2"/>
      <c r="GV997" s="2"/>
      <c r="GW997" s="2"/>
      <c r="GX997" s="2"/>
      <c r="GY997" s="2"/>
      <c r="GZ997" s="2"/>
      <c r="HA997" s="2"/>
      <c r="HB997" s="2"/>
      <c r="HC997" s="2"/>
      <c r="HD997" s="2"/>
      <c r="HE997" s="2"/>
      <c r="HF997" s="2"/>
      <c r="HG997" s="2"/>
      <c r="HH997" s="2"/>
      <c r="HI997" s="2"/>
      <c r="HJ997" s="2"/>
      <c r="HK997" s="2"/>
      <c r="HL997" s="2"/>
      <c r="HM997" s="2"/>
      <c r="HN997" s="2"/>
      <c r="HO997" s="2"/>
      <c r="HP997" s="2"/>
      <c r="HQ997" s="2"/>
      <c r="HR997" s="2"/>
      <c r="HS997" s="2"/>
      <c r="HT997" s="2"/>
      <c r="HU997" s="2"/>
      <c r="HV997" s="2"/>
      <c r="HW997" s="2"/>
      <c r="HX997" s="2"/>
      <c r="HY997" s="2"/>
      <c r="HZ997" s="2"/>
      <c r="IA997" s="2"/>
      <c r="IB997" s="2"/>
      <c r="IC997" s="2"/>
      <c r="ID997" s="2"/>
      <c r="IE997" s="2"/>
      <c r="IF997" s="2"/>
      <c r="IG997" s="2"/>
      <c r="IH997" s="2"/>
      <c r="II997" s="2"/>
      <c r="IJ997" s="2"/>
      <c r="IK997" s="2"/>
      <c r="IL997" s="2"/>
      <c r="IM997" s="2"/>
      <c r="IN997" s="2"/>
      <c r="IO997" s="2"/>
      <c r="IP997" s="2"/>
      <c r="IQ997" s="2"/>
      <c r="IR997" s="2"/>
      <c r="IS997" s="2"/>
      <c r="IT997" s="2"/>
      <c r="IU997" s="2"/>
      <c r="IV997" s="2"/>
      <c r="IW997" s="2"/>
      <c r="IX997" s="2"/>
    </row>
    <row r="998" spans="1:258" s="8" customFormat="1" ht="21.95" customHeight="1">
      <c r="A998" s="52" t="s">
        <v>1820</v>
      </c>
      <c r="B998" s="24" t="s">
        <v>751</v>
      </c>
      <c r="C998" s="1">
        <f t="shared" si="272"/>
        <v>2757250</v>
      </c>
      <c r="D998" s="21">
        <f t="shared" si="271"/>
        <v>0</v>
      </c>
      <c r="E998" s="21">
        <v>0</v>
      </c>
      <c r="F998" s="21">
        <v>0</v>
      </c>
      <c r="G998" s="21">
        <v>0</v>
      </c>
      <c r="H998" s="21">
        <v>0</v>
      </c>
      <c r="I998" s="21">
        <v>0</v>
      </c>
      <c r="J998" s="21">
        <v>0</v>
      </c>
      <c r="K998" s="40">
        <v>0</v>
      </c>
      <c r="L998" s="21">
        <v>0</v>
      </c>
      <c r="M998" s="21">
        <v>482.5</v>
      </c>
      <c r="N998" s="3">
        <v>2557250</v>
      </c>
      <c r="O998" s="21">
        <v>0</v>
      </c>
      <c r="P998" s="21">
        <v>0</v>
      </c>
      <c r="Q998" s="21">
        <v>0</v>
      </c>
      <c r="R998" s="21">
        <v>0</v>
      </c>
      <c r="S998" s="21">
        <v>0</v>
      </c>
      <c r="T998" s="3">
        <v>0</v>
      </c>
      <c r="U998" s="21">
        <v>200000</v>
      </c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  <c r="FE998" s="2"/>
      <c r="FF998" s="2"/>
      <c r="FG998" s="2"/>
      <c r="FH998" s="2"/>
      <c r="FI998" s="2"/>
      <c r="FJ998" s="2"/>
      <c r="FK998" s="2"/>
      <c r="FL998" s="2"/>
      <c r="FM998" s="2"/>
      <c r="FN998" s="2"/>
      <c r="FO998" s="2"/>
      <c r="FP998" s="2"/>
      <c r="FQ998" s="2"/>
      <c r="FR998" s="2"/>
      <c r="FS998" s="2"/>
      <c r="FT998" s="2"/>
      <c r="FU998" s="2"/>
      <c r="FV998" s="2"/>
      <c r="FW998" s="2"/>
      <c r="FX998" s="2"/>
      <c r="FY998" s="2"/>
      <c r="FZ998" s="2"/>
      <c r="GA998" s="2"/>
      <c r="GB998" s="2"/>
      <c r="GC998" s="2"/>
      <c r="GD998" s="2"/>
      <c r="GE998" s="2"/>
      <c r="GF998" s="2"/>
      <c r="GG998" s="2"/>
      <c r="GH998" s="2"/>
      <c r="GI998" s="2"/>
      <c r="GJ998" s="2"/>
      <c r="GK998" s="2"/>
      <c r="GL998" s="2"/>
      <c r="GM998" s="2"/>
      <c r="GN998" s="2"/>
      <c r="GO998" s="2"/>
      <c r="GP998" s="2"/>
      <c r="GQ998" s="2"/>
      <c r="GR998" s="2"/>
      <c r="GS998" s="2"/>
      <c r="GT998" s="2"/>
      <c r="GU998" s="2"/>
      <c r="GV998" s="2"/>
      <c r="GW998" s="2"/>
      <c r="GX998" s="2"/>
      <c r="GY998" s="2"/>
      <c r="GZ998" s="2"/>
      <c r="HA998" s="2"/>
      <c r="HB998" s="2"/>
      <c r="HC998" s="2"/>
      <c r="HD998" s="2"/>
      <c r="HE998" s="2"/>
      <c r="HF998" s="2"/>
      <c r="HG998" s="2"/>
      <c r="HH998" s="2"/>
      <c r="HI998" s="2"/>
      <c r="HJ998" s="2"/>
      <c r="HK998" s="2"/>
      <c r="HL998" s="2"/>
      <c r="HM998" s="2"/>
      <c r="HN998" s="2"/>
      <c r="HO998" s="2"/>
      <c r="HP998" s="2"/>
      <c r="HQ998" s="2"/>
      <c r="HR998" s="2"/>
      <c r="HS998" s="2"/>
      <c r="HT998" s="2"/>
      <c r="HU998" s="2"/>
      <c r="HV998" s="2"/>
      <c r="HW998" s="2"/>
      <c r="HX998" s="2"/>
      <c r="HY998" s="2"/>
      <c r="HZ998" s="2"/>
      <c r="IA998" s="2"/>
      <c r="IB998" s="2"/>
      <c r="IC998" s="2"/>
      <c r="ID998" s="2"/>
      <c r="IE998" s="2"/>
      <c r="IF998" s="2"/>
      <c r="IG998" s="2"/>
      <c r="IH998" s="2"/>
      <c r="II998" s="2"/>
      <c r="IJ998" s="2"/>
      <c r="IK998" s="2"/>
      <c r="IL998" s="2"/>
      <c r="IM998" s="2"/>
      <c r="IN998" s="2"/>
      <c r="IO998" s="2"/>
      <c r="IP998" s="2"/>
      <c r="IQ998" s="2"/>
      <c r="IR998" s="2"/>
      <c r="IS998" s="2"/>
      <c r="IT998" s="2"/>
      <c r="IU998" s="2"/>
      <c r="IV998" s="2"/>
      <c r="IW998" s="2"/>
      <c r="IX998" s="2"/>
    </row>
    <row r="999" spans="1:258" ht="21.95" customHeight="1">
      <c r="A999" s="52" t="s">
        <v>1821</v>
      </c>
      <c r="B999" s="24" t="s">
        <v>752</v>
      </c>
      <c r="C999" s="1">
        <f t="shared" si="272"/>
        <v>1578000</v>
      </c>
      <c r="D999" s="21">
        <f t="shared" si="271"/>
        <v>0</v>
      </c>
      <c r="E999" s="21">
        <v>0</v>
      </c>
      <c r="F999" s="21">
        <v>0</v>
      </c>
      <c r="G999" s="21">
        <v>0</v>
      </c>
      <c r="H999" s="21">
        <v>0</v>
      </c>
      <c r="I999" s="21">
        <v>0</v>
      </c>
      <c r="J999" s="21">
        <v>0</v>
      </c>
      <c r="K999" s="40">
        <v>0</v>
      </c>
      <c r="L999" s="21">
        <v>0</v>
      </c>
      <c r="M999" s="21">
        <v>260</v>
      </c>
      <c r="N999" s="3">
        <v>1378000</v>
      </c>
      <c r="O999" s="21">
        <v>0</v>
      </c>
      <c r="P999" s="21">
        <v>0</v>
      </c>
      <c r="Q999" s="21">
        <v>0</v>
      </c>
      <c r="R999" s="21">
        <v>0</v>
      </c>
      <c r="S999" s="21">
        <v>0</v>
      </c>
      <c r="T999" s="3">
        <v>0</v>
      </c>
      <c r="U999" s="21">
        <v>200000</v>
      </c>
    </row>
    <row r="1000" spans="1:258" ht="21.95" customHeight="1">
      <c r="A1000" s="52" t="s">
        <v>1822</v>
      </c>
      <c r="B1000" s="24" t="s">
        <v>753</v>
      </c>
      <c r="C1000" s="1">
        <f t="shared" si="272"/>
        <v>1546200</v>
      </c>
      <c r="D1000" s="21">
        <f t="shared" si="271"/>
        <v>0</v>
      </c>
      <c r="E1000" s="21">
        <v>0</v>
      </c>
      <c r="F1000" s="21">
        <v>0</v>
      </c>
      <c r="G1000" s="21">
        <v>0</v>
      </c>
      <c r="H1000" s="21">
        <v>0</v>
      </c>
      <c r="I1000" s="21">
        <v>0</v>
      </c>
      <c r="J1000" s="21">
        <v>0</v>
      </c>
      <c r="K1000" s="40">
        <v>0</v>
      </c>
      <c r="L1000" s="21">
        <v>0</v>
      </c>
      <c r="M1000" s="21">
        <v>254</v>
      </c>
      <c r="N1000" s="3">
        <v>1346200</v>
      </c>
      <c r="O1000" s="21">
        <v>0</v>
      </c>
      <c r="P1000" s="21">
        <v>0</v>
      </c>
      <c r="Q1000" s="21">
        <v>0</v>
      </c>
      <c r="R1000" s="21">
        <v>0</v>
      </c>
      <c r="S1000" s="21">
        <v>0</v>
      </c>
      <c r="T1000" s="3">
        <v>0</v>
      </c>
      <c r="U1000" s="21">
        <v>200000</v>
      </c>
    </row>
    <row r="1001" spans="1:258" ht="21.95" customHeight="1">
      <c r="A1001" s="52" t="s">
        <v>1823</v>
      </c>
      <c r="B1001" s="24" t="s">
        <v>1328</v>
      </c>
      <c r="C1001" s="1">
        <f t="shared" si="272"/>
        <v>3190790</v>
      </c>
      <c r="D1001" s="21">
        <f t="shared" si="271"/>
        <v>0</v>
      </c>
      <c r="E1001" s="21">
        <v>0</v>
      </c>
      <c r="F1001" s="21">
        <v>0</v>
      </c>
      <c r="G1001" s="21">
        <v>0</v>
      </c>
      <c r="H1001" s="21">
        <v>0</v>
      </c>
      <c r="I1001" s="21">
        <v>0</v>
      </c>
      <c r="J1001" s="21">
        <v>0</v>
      </c>
      <c r="K1001" s="40">
        <v>0</v>
      </c>
      <c r="L1001" s="21">
        <v>0</v>
      </c>
      <c r="M1001" s="3">
        <v>906.3</v>
      </c>
      <c r="N1001" s="3">
        <v>2990790</v>
      </c>
      <c r="O1001" s="21">
        <v>0</v>
      </c>
      <c r="P1001" s="21">
        <v>0</v>
      </c>
      <c r="Q1001" s="21">
        <v>0</v>
      </c>
      <c r="R1001" s="21">
        <v>0</v>
      </c>
      <c r="S1001" s="21">
        <v>0</v>
      </c>
      <c r="T1001" s="3">
        <v>0</v>
      </c>
      <c r="U1001" s="21">
        <v>200000</v>
      </c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  <c r="AF1001" s="9"/>
      <c r="AG1001" s="9"/>
      <c r="AH1001" s="9"/>
      <c r="AI1001" s="9"/>
      <c r="AJ1001" s="9"/>
      <c r="AK1001" s="9"/>
      <c r="AL1001" s="9"/>
      <c r="AM1001" s="9"/>
      <c r="AN1001" s="9"/>
      <c r="AO1001" s="9"/>
      <c r="AP1001" s="9"/>
      <c r="AQ1001" s="9"/>
      <c r="AR1001" s="9"/>
      <c r="AS1001" s="9"/>
      <c r="AT1001" s="9"/>
      <c r="AU1001" s="9"/>
      <c r="AV1001" s="9"/>
      <c r="AW1001" s="9"/>
      <c r="AX1001" s="9"/>
      <c r="AY1001" s="9"/>
      <c r="AZ1001" s="9"/>
      <c r="BA1001" s="9"/>
      <c r="BB1001" s="9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9"/>
      <c r="BO1001" s="9"/>
      <c r="BP1001" s="9"/>
      <c r="BQ1001" s="9"/>
      <c r="BR1001" s="9"/>
      <c r="BS1001" s="9"/>
      <c r="BT1001" s="9"/>
      <c r="BU1001" s="9"/>
      <c r="BV1001" s="9"/>
      <c r="BW1001" s="9"/>
      <c r="BX1001" s="9"/>
      <c r="BY1001" s="9"/>
      <c r="BZ1001" s="9"/>
      <c r="CA1001" s="9"/>
      <c r="CB1001" s="9"/>
      <c r="CC1001" s="9"/>
      <c r="CD1001" s="9"/>
      <c r="CE1001" s="9"/>
      <c r="CF1001" s="9"/>
      <c r="CG1001" s="9"/>
      <c r="CH1001" s="9"/>
      <c r="CI1001" s="9"/>
      <c r="CJ1001" s="9"/>
      <c r="CK1001" s="9"/>
      <c r="CL1001" s="9"/>
      <c r="CM1001" s="9"/>
      <c r="CN1001" s="9"/>
      <c r="CO1001" s="9"/>
      <c r="CP1001" s="9"/>
      <c r="CQ1001" s="9"/>
      <c r="CR1001" s="9"/>
      <c r="CS1001" s="9"/>
      <c r="CT1001" s="9"/>
      <c r="CU1001" s="9"/>
      <c r="CV1001" s="9"/>
      <c r="CW1001" s="9"/>
      <c r="CX1001" s="9"/>
      <c r="CY1001" s="9"/>
      <c r="CZ1001" s="9"/>
      <c r="DA1001" s="9"/>
      <c r="DB1001" s="9"/>
      <c r="DC1001" s="9"/>
      <c r="DD1001" s="9"/>
      <c r="DE1001" s="9"/>
      <c r="DF1001" s="9"/>
      <c r="DG1001" s="9"/>
      <c r="DH1001" s="9"/>
      <c r="DI1001" s="9"/>
      <c r="DJ1001" s="9"/>
      <c r="DK1001" s="9"/>
      <c r="DL1001" s="9"/>
      <c r="DM1001" s="9"/>
      <c r="DN1001" s="9"/>
      <c r="DO1001" s="9"/>
      <c r="DP1001" s="9"/>
      <c r="DQ1001" s="9"/>
      <c r="DR1001" s="9"/>
      <c r="DS1001" s="9"/>
      <c r="DT1001" s="9"/>
      <c r="DU1001" s="9"/>
      <c r="DV1001" s="9"/>
      <c r="DW1001" s="9"/>
      <c r="DX1001" s="9"/>
      <c r="DY1001" s="9"/>
      <c r="DZ1001" s="9"/>
      <c r="EA1001" s="9"/>
      <c r="EB1001" s="9"/>
      <c r="EC1001" s="9"/>
      <c r="ED1001" s="9"/>
      <c r="EE1001" s="9"/>
      <c r="EF1001" s="9"/>
      <c r="EG1001" s="9"/>
      <c r="EH1001" s="9"/>
      <c r="EI1001" s="9"/>
      <c r="EJ1001" s="9"/>
      <c r="EK1001" s="9"/>
      <c r="EL1001" s="9"/>
      <c r="EM1001" s="9"/>
      <c r="EN1001" s="9"/>
      <c r="EO1001" s="9"/>
      <c r="EP1001" s="9"/>
      <c r="EQ1001" s="9"/>
      <c r="ER1001" s="9"/>
      <c r="ES1001" s="9"/>
      <c r="ET1001" s="9"/>
      <c r="EU1001" s="9"/>
      <c r="EV1001" s="9"/>
      <c r="EW1001" s="9"/>
      <c r="EX1001" s="9"/>
      <c r="EY1001" s="9"/>
      <c r="EZ1001" s="9"/>
      <c r="FA1001" s="9"/>
      <c r="FB1001" s="9"/>
      <c r="FC1001" s="9"/>
      <c r="FD1001" s="9"/>
      <c r="FE1001" s="9"/>
      <c r="FF1001" s="9"/>
      <c r="FG1001" s="9"/>
      <c r="FH1001" s="9"/>
      <c r="FI1001" s="9"/>
      <c r="FJ1001" s="9"/>
      <c r="FK1001" s="9"/>
      <c r="FL1001" s="9"/>
      <c r="FM1001" s="9"/>
      <c r="FN1001" s="9"/>
      <c r="FO1001" s="9"/>
      <c r="FP1001" s="9"/>
      <c r="FQ1001" s="9"/>
      <c r="FR1001" s="9"/>
      <c r="FS1001" s="9"/>
      <c r="FT1001" s="9"/>
      <c r="FU1001" s="9"/>
      <c r="FV1001" s="9"/>
      <c r="FW1001" s="9"/>
      <c r="FX1001" s="9"/>
      <c r="FY1001" s="9"/>
      <c r="FZ1001" s="9"/>
      <c r="GA1001" s="9"/>
      <c r="GB1001" s="9"/>
      <c r="GC1001" s="9"/>
      <c r="GD1001" s="9"/>
      <c r="GE1001" s="9"/>
      <c r="GF1001" s="9"/>
      <c r="GG1001" s="9"/>
      <c r="GH1001" s="9"/>
      <c r="GI1001" s="9"/>
      <c r="GJ1001" s="9"/>
      <c r="GK1001" s="9"/>
      <c r="GL1001" s="9"/>
      <c r="GM1001" s="9"/>
      <c r="GN1001" s="9"/>
      <c r="GO1001" s="9"/>
      <c r="GP1001" s="9"/>
      <c r="GQ1001" s="9"/>
      <c r="GR1001" s="9"/>
      <c r="GS1001" s="9"/>
      <c r="GT1001" s="9"/>
      <c r="GU1001" s="9"/>
      <c r="GV1001" s="9"/>
      <c r="GW1001" s="9"/>
      <c r="GX1001" s="9"/>
      <c r="GY1001" s="9"/>
      <c r="GZ1001" s="9"/>
      <c r="HA1001" s="9"/>
      <c r="HB1001" s="9"/>
      <c r="HC1001" s="9"/>
      <c r="HD1001" s="9"/>
      <c r="HE1001" s="9"/>
      <c r="HF1001" s="9"/>
      <c r="HG1001" s="9"/>
      <c r="HH1001" s="9"/>
      <c r="HI1001" s="9"/>
      <c r="HJ1001" s="9"/>
      <c r="HK1001" s="9"/>
      <c r="HL1001" s="9"/>
      <c r="HM1001" s="9"/>
      <c r="HN1001" s="9"/>
      <c r="HO1001" s="9"/>
      <c r="HP1001" s="9"/>
      <c r="HQ1001" s="9"/>
      <c r="HR1001" s="9"/>
      <c r="HS1001" s="9"/>
      <c r="HT1001" s="9"/>
      <c r="HU1001" s="9"/>
      <c r="HV1001" s="9"/>
      <c r="HW1001" s="9"/>
      <c r="HX1001" s="9"/>
      <c r="HY1001" s="9"/>
      <c r="HZ1001" s="9"/>
      <c r="IA1001" s="9"/>
      <c r="IB1001" s="9"/>
      <c r="IC1001" s="9"/>
      <c r="ID1001" s="9"/>
      <c r="IE1001" s="9"/>
      <c r="IF1001" s="9"/>
      <c r="IG1001" s="9"/>
      <c r="IH1001" s="9"/>
      <c r="II1001" s="9"/>
      <c r="IJ1001" s="9"/>
      <c r="IK1001" s="9"/>
      <c r="IL1001" s="9"/>
      <c r="IM1001" s="9"/>
      <c r="IN1001" s="9"/>
      <c r="IO1001" s="9"/>
      <c r="IP1001" s="9"/>
      <c r="IQ1001" s="9"/>
      <c r="IR1001" s="9"/>
      <c r="IS1001" s="9"/>
      <c r="IT1001" s="9"/>
      <c r="IU1001" s="9"/>
      <c r="IV1001" s="9"/>
      <c r="IW1001" s="9"/>
      <c r="IX1001" s="9"/>
    </row>
    <row r="1002" spans="1:258" ht="21.95" customHeight="1">
      <c r="A1002" s="52" t="s">
        <v>1824</v>
      </c>
      <c r="B1002" s="24" t="s">
        <v>754</v>
      </c>
      <c r="C1002" s="1">
        <f t="shared" si="272"/>
        <v>2292970</v>
      </c>
      <c r="D1002" s="21">
        <f t="shared" si="271"/>
        <v>0</v>
      </c>
      <c r="E1002" s="21">
        <v>0</v>
      </c>
      <c r="F1002" s="21">
        <v>0</v>
      </c>
      <c r="G1002" s="21">
        <v>0</v>
      </c>
      <c r="H1002" s="21">
        <v>0</v>
      </c>
      <c r="I1002" s="21">
        <v>0</v>
      </c>
      <c r="J1002" s="21">
        <v>0</v>
      </c>
      <c r="K1002" s="40">
        <v>0</v>
      </c>
      <c r="L1002" s="21">
        <v>0</v>
      </c>
      <c r="M1002" s="21">
        <v>394.9</v>
      </c>
      <c r="N1002" s="3">
        <v>2092970</v>
      </c>
      <c r="O1002" s="21">
        <v>0</v>
      </c>
      <c r="P1002" s="21">
        <v>0</v>
      </c>
      <c r="Q1002" s="21">
        <v>0</v>
      </c>
      <c r="R1002" s="21">
        <v>0</v>
      </c>
      <c r="S1002" s="21">
        <v>0</v>
      </c>
      <c r="T1002" s="3">
        <v>0</v>
      </c>
      <c r="U1002" s="21">
        <v>200000</v>
      </c>
    </row>
    <row r="1003" spans="1:258" ht="21.95" customHeight="1">
      <c r="A1003" s="52" t="s">
        <v>1825</v>
      </c>
      <c r="B1003" s="24" t="s">
        <v>830</v>
      </c>
      <c r="C1003" s="1">
        <f t="shared" si="272"/>
        <v>1252580</v>
      </c>
      <c r="D1003" s="21">
        <f t="shared" si="271"/>
        <v>0</v>
      </c>
      <c r="E1003" s="21">
        <v>0</v>
      </c>
      <c r="F1003" s="21">
        <v>0</v>
      </c>
      <c r="G1003" s="21">
        <v>0</v>
      </c>
      <c r="H1003" s="21">
        <v>0</v>
      </c>
      <c r="I1003" s="21">
        <v>0</v>
      </c>
      <c r="J1003" s="21">
        <v>0</v>
      </c>
      <c r="K1003" s="40">
        <v>0</v>
      </c>
      <c r="L1003" s="21">
        <v>0</v>
      </c>
      <c r="M1003" s="3">
        <v>198.6</v>
      </c>
      <c r="N1003" s="3">
        <v>1052580</v>
      </c>
      <c r="O1003" s="21">
        <v>0</v>
      </c>
      <c r="P1003" s="21">
        <v>0</v>
      </c>
      <c r="Q1003" s="21">
        <v>0</v>
      </c>
      <c r="R1003" s="21">
        <v>0</v>
      </c>
      <c r="S1003" s="21">
        <v>0</v>
      </c>
      <c r="T1003" s="3">
        <v>0</v>
      </c>
      <c r="U1003" s="21">
        <v>200000</v>
      </c>
    </row>
    <row r="1004" spans="1:258" ht="21.95" customHeight="1">
      <c r="A1004" s="52" t="s">
        <v>1826</v>
      </c>
      <c r="B1004" s="24" t="s">
        <v>755</v>
      </c>
      <c r="C1004" s="1">
        <f t="shared" si="272"/>
        <v>1731700</v>
      </c>
      <c r="D1004" s="21">
        <f t="shared" si="271"/>
        <v>0</v>
      </c>
      <c r="E1004" s="21">
        <v>0</v>
      </c>
      <c r="F1004" s="21">
        <v>0</v>
      </c>
      <c r="G1004" s="21">
        <v>0</v>
      </c>
      <c r="H1004" s="21">
        <v>0</v>
      </c>
      <c r="I1004" s="21">
        <v>0</v>
      </c>
      <c r="J1004" s="21">
        <v>0</v>
      </c>
      <c r="K1004" s="40">
        <v>0</v>
      </c>
      <c r="L1004" s="21">
        <v>0</v>
      </c>
      <c r="M1004" s="21">
        <v>289</v>
      </c>
      <c r="N1004" s="3">
        <v>1531700</v>
      </c>
      <c r="O1004" s="21">
        <v>0</v>
      </c>
      <c r="P1004" s="21">
        <v>0</v>
      </c>
      <c r="Q1004" s="21">
        <v>0</v>
      </c>
      <c r="R1004" s="21">
        <v>0</v>
      </c>
      <c r="S1004" s="21">
        <v>0</v>
      </c>
      <c r="T1004" s="3">
        <v>0</v>
      </c>
      <c r="U1004" s="21">
        <v>200000</v>
      </c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  <c r="AF1004" s="9"/>
      <c r="AG1004" s="9"/>
      <c r="AH1004" s="9"/>
      <c r="AI1004" s="9"/>
      <c r="AJ1004" s="9"/>
      <c r="AK1004" s="9"/>
      <c r="AL1004" s="9"/>
      <c r="AM1004" s="9"/>
      <c r="AN1004" s="9"/>
      <c r="AO1004" s="9"/>
      <c r="AP1004" s="9"/>
      <c r="AQ1004" s="9"/>
      <c r="AR1004" s="9"/>
      <c r="AS1004" s="9"/>
      <c r="AT1004" s="9"/>
      <c r="AU1004" s="9"/>
      <c r="AV1004" s="9"/>
      <c r="AW1004" s="9"/>
      <c r="AX1004" s="9"/>
      <c r="AY1004" s="9"/>
      <c r="AZ1004" s="9"/>
      <c r="BA1004" s="9"/>
      <c r="BB1004" s="9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9"/>
      <c r="BO1004" s="9"/>
      <c r="BP1004" s="9"/>
      <c r="BQ1004" s="9"/>
      <c r="BR1004" s="9"/>
      <c r="BS1004" s="9"/>
      <c r="BT1004" s="9"/>
      <c r="BU1004" s="9"/>
      <c r="BV1004" s="9"/>
      <c r="BW1004" s="9"/>
      <c r="BX1004" s="9"/>
      <c r="BY1004" s="9"/>
      <c r="BZ1004" s="9"/>
      <c r="CA1004" s="9"/>
      <c r="CB1004" s="9"/>
      <c r="CC1004" s="9"/>
      <c r="CD1004" s="9"/>
      <c r="CE1004" s="9"/>
      <c r="CF1004" s="9"/>
      <c r="CG1004" s="9"/>
      <c r="CH1004" s="9"/>
      <c r="CI1004" s="9"/>
      <c r="CJ1004" s="9"/>
      <c r="CK1004" s="9"/>
      <c r="CL1004" s="9"/>
      <c r="CM1004" s="9"/>
      <c r="CN1004" s="9"/>
      <c r="CO1004" s="9"/>
      <c r="CP1004" s="9"/>
      <c r="CQ1004" s="9"/>
      <c r="CR1004" s="9"/>
      <c r="CS1004" s="9"/>
      <c r="CT1004" s="9"/>
      <c r="CU1004" s="9"/>
      <c r="CV1004" s="9"/>
      <c r="CW1004" s="9"/>
      <c r="CX1004" s="9"/>
      <c r="CY1004" s="9"/>
      <c r="CZ1004" s="9"/>
      <c r="DA1004" s="9"/>
      <c r="DB1004" s="9"/>
      <c r="DC1004" s="9"/>
      <c r="DD1004" s="9"/>
      <c r="DE1004" s="9"/>
      <c r="DF1004" s="9"/>
      <c r="DG1004" s="9"/>
      <c r="DH1004" s="9"/>
      <c r="DI1004" s="9"/>
      <c r="DJ1004" s="9"/>
      <c r="DK1004" s="9"/>
      <c r="DL1004" s="9"/>
      <c r="DM1004" s="9"/>
      <c r="DN1004" s="9"/>
      <c r="DO1004" s="9"/>
      <c r="DP1004" s="9"/>
      <c r="DQ1004" s="9"/>
      <c r="DR1004" s="9"/>
      <c r="DS1004" s="9"/>
      <c r="DT1004" s="9"/>
      <c r="DU1004" s="9"/>
      <c r="DV1004" s="9"/>
      <c r="DW1004" s="9"/>
      <c r="DX1004" s="9"/>
      <c r="DY1004" s="9"/>
      <c r="DZ1004" s="9"/>
      <c r="EA1004" s="9"/>
      <c r="EB1004" s="9"/>
      <c r="EC1004" s="9"/>
      <c r="ED1004" s="9"/>
      <c r="EE1004" s="9"/>
      <c r="EF1004" s="9"/>
      <c r="EG1004" s="9"/>
      <c r="EH1004" s="9"/>
      <c r="EI1004" s="9"/>
      <c r="EJ1004" s="9"/>
      <c r="EK1004" s="9"/>
      <c r="EL1004" s="9"/>
      <c r="EM1004" s="9"/>
      <c r="EN1004" s="9"/>
      <c r="EO1004" s="9"/>
      <c r="EP1004" s="9"/>
      <c r="EQ1004" s="9"/>
      <c r="ER1004" s="9"/>
      <c r="ES1004" s="9"/>
      <c r="ET1004" s="9"/>
      <c r="EU1004" s="9"/>
      <c r="EV1004" s="9"/>
      <c r="EW1004" s="9"/>
      <c r="EX1004" s="9"/>
      <c r="EY1004" s="9"/>
      <c r="EZ1004" s="9"/>
      <c r="FA1004" s="9"/>
      <c r="FB1004" s="9"/>
      <c r="FC1004" s="9"/>
      <c r="FD1004" s="9"/>
      <c r="FE1004" s="9"/>
      <c r="FF1004" s="9"/>
      <c r="FG1004" s="9"/>
      <c r="FH1004" s="9"/>
      <c r="FI1004" s="9"/>
      <c r="FJ1004" s="9"/>
      <c r="FK1004" s="9"/>
      <c r="FL1004" s="9"/>
      <c r="FM1004" s="9"/>
      <c r="FN1004" s="9"/>
      <c r="FO1004" s="9"/>
      <c r="FP1004" s="9"/>
      <c r="FQ1004" s="9"/>
      <c r="FR1004" s="9"/>
      <c r="FS1004" s="9"/>
      <c r="FT1004" s="9"/>
      <c r="FU1004" s="9"/>
      <c r="FV1004" s="9"/>
      <c r="FW1004" s="9"/>
      <c r="FX1004" s="9"/>
      <c r="FY1004" s="9"/>
      <c r="FZ1004" s="9"/>
      <c r="GA1004" s="9"/>
      <c r="GB1004" s="9"/>
      <c r="GC1004" s="9"/>
      <c r="GD1004" s="9"/>
      <c r="GE1004" s="9"/>
      <c r="GF1004" s="9"/>
      <c r="GG1004" s="9"/>
      <c r="GH1004" s="9"/>
      <c r="GI1004" s="9"/>
    </row>
    <row r="1005" spans="1:258" ht="21.95" customHeight="1">
      <c r="A1005" s="52" t="s">
        <v>1827</v>
      </c>
      <c r="B1005" s="30" t="s">
        <v>831</v>
      </c>
      <c r="C1005" s="1">
        <f t="shared" si="272"/>
        <v>3240610</v>
      </c>
      <c r="D1005" s="21">
        <f t="shared" si="271"/>
        <v>0</v>
      </c>
      <c r="E1005" s="21">
        <v>0</v>
      </c>
      <c r="F1005" s="21">
        <v>0</v>
      </c>
      <c r="G1005" s="21">
        <v>0</v>
      </c>
      <c r="H1005" s="21">
        <v>0</v>
      </c>
      <c r="I1005" s="21">
        <v>0</v>
      </c>
      <c r="J1005" s="21">
        <v>0</v>
      </c>
      <c r="K1005" s="40">
        <v>0</v>
      </c>
      <c r="L1005" s="21">
        <v>0</v>
      </c>
      <c r="M1005" s="3">
        <v>573.70000000000005</v>
      </c>
      <c r="N1005" s="3">
        <v>3040610</v>
      </c>
      <c r="O1005" s="21">
        <v>0</v>
      </c>
      <c r="P1005" s="21">
        <v>0</v>
      </c>
      <c r="Q1005" s="21">
        <v>0</v>
      </c>
      <c r="R1005" s="21">
        <v>0</v>
      </c>
      <c r="S1005" s="21">
        <v>0</v>
      </c>
      <c r="T1005" s="3">
        <v>0</v>
      </c>
      <c r="U1005" s="21">
        <v>200000</v>
      </c>
    </row>
    <row r="1006" spans="1:258" ht="21.95" customHeight="1">
      <c r="A1006" s="52" t="s">
        <v>1828</v>
      </c>
      <c r="B1006" s="24" t="s">
        <v>756</v>
      </c>
      <c r="C1006" s="1">
        <f t="shared" si="272"/>
        <v>7851336</v>
      </c>
      <c r="D1006" s="21">
        <f t="shared" si="271"/>
        <v>3600936</v>
      </c>
      <c r="E1006" s="21">
        <f>350*1500.39</f>
        <v>525136.5</v>
      </c>
      <c r="F1006" s="21">
        <f>800*1500.39</f>
        <v>1200312</v>
      </c>
      <c r="G1006" s="21">
        <f>350*1500.39</f>
        <v>525136.5</v>
      </c>
      <c r="H1006" s="21">
        <f>500*1500.39</f>
        <v>750195</v>
      </c>
      <c r="I1006" s="21">
        <f>400*1500.39</f>
        <v>600156</v>
      </c>
      <c r="J1006" s="21">
        <v>0</v>
      </c>
      <c r="K1006" s="40">
        <v>0</v>
      </c>
      <c r="L1006" s="21">
        <v>0</v>
      </c>
      <c r="M1006" s="21">
        <v>576</v>
      </c>
      <c r="N1006" s="3">
        <v>3052800</v>
      </c>
      <c r="O1006" s="21">
        <v>438</v>
      </c>
      <c r="P1006" s="21">
        <v>525600</v>
      </c>
      <c r="Q1006" s="21">
        <v>0</v>
      </c>
      <c r="R1006" s="21">
        <v>0</v>
      </c>
      <c r="S1006" s="21">
        <v>472000</v>
      </c>
      <c r="T1006" s="3">
        <v>0</v>
      </c>
      <c r="U1006" s="21">
        <v>200000</v>
      </c>
    </row>
    <row r="1007" spans="1:258" ht="21.95" customHeight="1">
      <c r="A1007" s="52" t="s">
        <v>1829</v>
      </c>
      <c r="B1007" s="24" t="s">
        <v>832</v>
      </c>
      <c r="C1007" s="1">
        <f t="shared" si="272"/>
        <v>5915520</v>
      </c>
      <c r="D1007" s="21">
        <f t="shared" si="271"/>
        <v>0</v>
      </c>
      <c r="E1007" s="21">
        <v>0</v>
      </c>
      <c r="F1007" s="21">
        <v>0</v>
      </c>
      <c r="G1007" s="21">
        <v>0</v>
      </c>
      <c r="H1007" s="21">
        <v>0</v>
      </c>
      <c r="I1007" s="21">
        <v>0</v>
      </c>
      <c r="J1007" s="21">
        <v>0</v>
      </c>
      <c r="K1007" s="5">
        <v>0</v>
      </c>
      <c r="L1007" s="3">
        <v>0</v>
      </c>
      <c r="M1007" s="3">
        <v>1078.4000000000001</v>
      </c>
      <c r="N1007" s="3">
        <v>5715520</v>
      </c>
      <c r="O1007" s="21">
        <v>0</v>
      </c>
      <c r="P1007" s="21">
        <v>0</v>
      </c>
      <c r="Q1007" s="21">
        <v>0</v>
      </c>
      <c r="R1007" s="21">
        <v>0</v>
      </c>
      <c r="S1007" s="21">
        <v>0</v>
      </c>
      <c r="T1007" s="3">
        <v>0</v>
      </c>
      <c r="U1007" s="21">
        <v>200000</v>
      </c>
    </row>
    <row r="1008" spans="1:258" s="9" customFormat="1" ht="21.95" customHeight="1">
      <c r="A1008" s="52" t="s">
        <v>1830</v>
      </c>
      <c r="B1008" s="24" t="s">
        <v>833</v>
      </c>
      <c r="C1008" s="1">
        <f t="shared" si="272"/>
        <v>5955800</v>
      </c>
      <c r="D1008" s="21">
        <f t="shared" si="271"/>
        <v>0</v>
      </c>
      <c r="E1008" s="21">
        <v>0</v>
      </c>
      <c r="F1008" s="21">
        <v>0</v>
      </c>
      <c r="G1008" s="21">
        <v>0</v>
      </c>
      <c r="H1008" s="21">
        <v>0</v>
      </c>
      <c r="I1008" s="21">
        <v>0</v>
      </c>
      <c r="J1008" s="21">
        <v>0</v>
      </c>
      <c r="K1008" s="40">
        <v>0</v>
      </c>
      <c r="L1008" s="21">
        <v>0</v>
      </c>
      <c r="M1008" s="3">
        <v>1086</v>
      </c>
      <c r="N1008" s="3">
        <v>5755800</v>
      </c>
      <c r="O1008" s="21">
        <v>0</v>
      </c>
      <c r="P1008" s="21">
        <v>0</v>
      </c>
      <c r="Q1008" s="21">
        <v>0</v>
      </c>
      <c r="R1008" s="21">
        <v>0</v>
      </c>
      <c r="S1008" s="21">
        <v>0</v>
      </c>
      <c r="T1008" s="3">
        <v>0</v>
      </c>
      <c r="U1008" s="21">
        <v>200000</v>
      </c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  <c r="FE1008" s="2"/>
      <c r="FF1008" s="2"/>
      <c r="FG1008" s="2"/>
      <c r="FH1008" s="2"/>
      <c r="FI1008" s="2"/>
      <c r="FJ1008" s="2"/>
      <c r="FK1008" s="2"/>
      <c r="FL1008" s="2"/>
      <c r="FM1008" s="2"/>
      <c r="FN1008" s="2"/>
      <c r="FO1008" s="2"/>
      <c r="FP1008" s="2"/>
      <c r="FQ1008" s="2"/>
      <c r="FR1008" s="2"/>
      <c r="FS1008" s="2"/>
      <c r="FT1008" s="2"/>
      <c r="FU1008" s="2"/>
      <c r="FV1008" s="2"/>
      <c r="FW1008" s="2"/>
      <c r="FX1008" s="2"/>
      <c r="FY1008" s="2"/>
      <c r="FZ1008" s="2"/>
      <c r="GA1008" s="2"/>
      <c r="GB1008" s="2"/>
      <c r="GC1008" s="2"/>
      <c r="GD1008" s="2"/>
      <c r="GE1008" s="2"/>
      <c r="GF1008" s="2"/>
      <c r="GG1008" s="2"/>
      <c r="GH1008" s="2"/>
      <c r="GI1008" s="2"/>
      <c r="GJ1008" s="2"/>
      <c r="GK1008" s="2"/>
      <c r="GL1008" s="2"/>
      <c r="GM1008" s="2"/>
      <c r="GN1008" s="2"/>
      <c r="GO1008" s="2"/>
      <c r="GP1008" s="2"/>
      <c r="GQ1008" s="2"/>
      <c r="GR1008" s="2"/>
      <c r="GS1008" s="2"/>
      <c r="GT1008" s="2"/>
      <c r="GU1008" s="2"/>
      <c r="GV1008" s="2"/>
      <c r="GW1008" s="2"/>
      <c r="GX1008" s="2"/>
      <c r="GY1008" s="2"/>
      <c r="GZ1008" s="2"/>
      <c r="HA1008" s="2"/>
      <c r="HB1008" s="2"/>
      <c r="HC1008" s="2"/>
      <c r="HD1008" s="2"/>
      <c r="HE1008" s="2"/>
      <c r="HF1008" s="2"/>
      <c r="HG1008" s="2"/>
      <c r="HH1008" s="2"/>
      <c r="HI1008" s="2"/>
      <c r="HJ1008" s="2"/>
      <c r="HK1008" s="2"/>
      <c r="HL1008" s="2"/>
      <c r="HM1008" s="2"/>
      <c r="HN1008" s="2"/>
      <c r="HO1008" s="2"/>
      <c r="HP1008" s="2"/>
      <c r="HQ1008" s="2"/>
      <c r="HR1008" s="2"/>
      <c r="HS1008" s="2"/>
      <c r="HT1008" s="2"/>
      <c r="HU1008" s="2"/>
      <c r="HV1008" s="2"/>
      <c r="HW1008" s="2"/>
      <c r="HX1008" s="2"/>
      <c r="HY1008" s="2"/>
      <c r="HZ1008" s="2"/>
      <c r="IA1008" s="2"/>
      <c r="IB1008" s="2"/>
      <c r="IC1008" s="2"/>
      <c r="ID1008" s="2"/>
      <c r="IE1008" s="2"/>
      <c r="IF1008" s="2"/>
      <c r="IG1008" s="2"/>
      <c r="IH1008" s="2"/>
      <c r="II1008" s="2"/>
      <c r="IJ1008" s="2"/>
      <c r="IK1008" s="2"/>
      <c r="IL1008" s="2"/>
      <c r="IM1008" s="2"/>
      <c r="IN1008" s="2"/>
      <c r="IO1008" s="2"/>
      <c r="IP1008" s="2"/>
      <c r="IQ1008" s="2"/>
      <c r="IR1008" s="2"/>
      <c r="IS1008" s="2"/>
      <c r="IT1008" s="2"/>
      <c r="IU1008" s="2"/>
      <c r="IV1008" s="2"/>
      <c r="IW1008" s="2"/>
      <c r="IX1008" s="2"/>
    </row>
    <row r="1009" spans="1:258" ht="21.95" customHeight="1">
      <c r="A1009" s="52" t="s">
        <v>1831</v>
      </c>
      <c r="B1009" s="24" t="s">
        <v>757</v>
      </c>
      <c r="C1009" s="1">
        <f t="shared" si="272"/>
        <v>2993100</v>
      </c>
      <c r="D1009" s="21">
        <f t="shared" si="271"/>
        <v>0</v>
      </c>
      <c r="E1009" s="21">
        <v>0</v>
      </c>
      <c r="F1009" s="21">
        <v>0</v>
      </c>
      <c r="G1009" s="21">
        <v>0</v>
      </c>
      <c r="H1009" s="21">
        <v>0</v>
      </c>
      <c r="I1009" s="21">
        <v>0</v>
      </c>
      <c r="J1009" s="21">
        <v>0</v>
      </c>
      <c r="K1009" s="40">
        <v>0</v>
      </c>
      <c r="L1009" s="21">
        <v>0</v>
      </c>
      <c r="M1009" s="3">
        <v>527</v>
      </c>
      <c r="N1009" s="3">
        <v>2793100</v>
      </c>
      <c r="O1009" s="21">
        <v>0</v>
      </c>
      <c r="P1009" s="21">
        <v>0</v>
      </c>
      <c r="Q1009" s="21">
        <v>0</v>
      </c>
      <c r="R1009" s="21">
        <v>0</v>
      </c>
      <c r="S1009" s="21">
        <v>0</v>
      </c>
      <c r="T1009" s="3">
        <v>0</v>
      </c>
      <c r="U1009" s="21">
        <v>200000</v>
      </c>
    </row>
    <row r="1010" spans="1:258" ht="21.95" customHeight="1">
      <c r="A1010" s="52" t="s">
        <v>1832</v>
      </c>
      <c r="B1010" s="24" t="s">
        <v>850</v>
      </c>
      <c r="C1010" s="1">
        <f t="shared" si="272"/>
        <v>4232540</v>
      </c>
      <c r="D1010" s="21">
        <f t="shared" si="271"/>
        <v>0</v>
      </c>
      <c r="E1010" s="21">
        <v>0</v>
      </c>
      <c r="F1010" s="21">
        <v>0</v>
      </c>
      <c r="G1010" s="21">
        <v>0</v>
      </c>
      <c r="H1010" s="21">
        <v>0</v>
      </c>
      <c r="I1010" s="21">
        <v>0</v>
      </c>
      <c r="J1010" s="21">
        <v>0</v>
      </c>
      <c r="K1010" s="40">
        <v>0</v>
      </c>
      <c r="L1010" s="21">
        <v>0</v>
      </c>
      <c r="M1010" s="3">
        <v>0</v>
      </c>
      <c r="N1010" s="3">
        <v>0</v>
      </c>
      <c r="O1010" s="21">
        <v>0</v>
      </c>
      <c r="P1010" s="21">
        <v>0</v>
      </c>
      <c r="Q1010" s="21">
        <v>1548</v>
      </c>
      <c r="R1010" s="21">
        <v>4032540</v>
      </c>
      <c r="S1010" s="21">
        <v>0</v>
      </c>
      <c r="T1010" s="3">
        <v>0</v>
      </c>
      <c r="U1010" s="21">
        <v>200000</v>
      </c>
    </row>
    <row r="1011" spans="1:258" ht="21.95" customHeight="1">
      <c r="A1011" s="52" t="s">
        <v>1833</v>
      </c>
      <c r="B1011" s="24" t="s">
        <v>758</v>
      </c>
      <c r="C1011" s="1">
        <f t="shared" si="272"/>
        <v>85633160</v>
      </c>
      <c r="D1011" s="21">
        <f t="shared" si="271"/>
        <v>38087760</v>
      </c>
      <c r="E1011" s="21">
        <f>350*15869.9</f>
        <v>5554465</v>
      </c>
      <c r="F1011" s="21">
        <f>800*15869.9</f>
        <v>12695920</v>
      </c>
      <c r="G1011" s="21">
        <f>350*15869.9</f>
        <v>5554465</v>
      </c>
      <c r="H1011" s="21">
        <f>500*15869.9</f>
        <v>7934950</v>
      </c>
      <c r="I1011" s="21">
        <f>400*15869.9</f>
        <v>6347960</v>
      </c>
      <c r="J1011" s="21">
        <v>0</v>
      </c>
      <c r="K1011" s="40">
        <v>0</v>
      </c>
      <c r="L1011" s="21">
        <v>0</v>
      </c>
      <c r="M1011" s="3">
        <v>5060</v>
      </c>
      <c r="N1011" s="23">
        <v>26818000</v>
      </c>
      <c r="O1011" s="21">
        <v>0</v>
      </c>
      <c r="P1011" s="21">
        <v>0</v>
      </c>
      <c r="Q1011" s="21">
        <v>7880</v>
      </c>
      <c r="R1011" s="21">
        <v>20527400</v>
      </c>
      <c r="S1011" s="21">
        <v>0</v>
      </c>
      <c r="T1011" s="3">
        <v>0</v>
      </c>
      <c r="U1011" s="21">
        <v>200000</v>
      </c>
    </row>
    <row r="1012" spans="1:258" ht="21.95" customHeight="1">
      <c r="A1012" s="52" t="s">
        <v>1834</v>
      </c>
      <c r="B1012" s="24" t="s">
        <v>834</v>
      </c>
      <c r="C1012" s="1">
        <f t="shared" si="272"/>
        <v>1324660</v>
      </c>
      <c r="D1012" s="21">
        <f t="shared" si="271"/>
        <v>0</v>
      </c>
      <c r="E1012" s="21">
        <v>0</v>
      </c>
      <c r="F1012" s="21">
        <v>0</v>
      </c>
      <c r="G1012" s="21">
        <v>0</v>
      </c>
      <c r="H1012" s="21">
        <v>0</v>
      </c>
      <c r="I1012" s="21">
        <v>0</v>
      </c>
      <c r="J1012" s="21">
        <v>0</v>
      </c>
      <c r="K1012" s="40">
        <v>0</v>
      </c>
      <c r="L1012" s="21">
        <v>0</v>
      </c>
      <c r="M1012" s="3">
        <v>212.2</v>
      </c>
      <c r="N1012" s="3">
        <v>1124660</v>
      </c>
      <c r="O1012" s="21">
        <v>0</v>
      </c>
      <c r="P1012" s="21">
        <v>0</v>
      </c>
      <c r="Q1012" s="21">
        <v>0</v>
      </c>
      <c r="R1012" s="21">
        <v>0</v>
      </c>
      <c r="S1012" s="21">
        <v>0</v>
      </c>
      <c r="T1012" s="3">
        <v>0</v>
      </c>
      <c r="U1012" s="21">
        <v>200000</v>
      </c>
    </row>
    <row r="1013" spans="1:258" ht="21.95" customHeight="1">
      <c r="A1013" s="52" t="s">
        <v>1835</v>
      </c>
      <c r="B1013" s="30" t="s">
        <v>759</v>
      </c>
      <c r="C1013" s="1">
        <f t="shared" si="272"/>
        <v>1890700</v>
      </c>
      <c r="D1013" s="21">
        <f t="shared" si="271"/>
        <v>0</v>
      </c>
      <c r="E1013" s="21">
        <v>0</v>
      </c>
      <c r="F1013" s="21">
        <v>0</v>
      </c>
      <c r="G1013" s="21">
        <v>0</v>
      </c>
      <c r="H1013" s="21">
        <v>0</v>
      </c>
      <c r="I1013" s="21">
        <v>0</v>
      </c>
      <c r="J1013" s="21">
        <v>0</v>
      </c>
      <c r="K1013" s="40">
        <v>0</v>
      </c>
      <c r="L1013" s="21">
        <v>0</v>
      </c>
      <c r="M1013" s="3">
        <v>319</v>
      </c>
      <c r="N1013" s="3">
        <v>1690700</v>
      </c>
      <c r="O1013" s="21">
        <v>0</v>
      </c>
      <c r="P1013" s="21">
        <v>0</v>
      </c>
      <c r="Q1013" s="21">
        <v>0</v>
      </c>
      <c r="R1013" s="21">
        <v>0</v>
      </c>
      <c r="S1013" s="21">
        <v>0</v>
      </c>
      <c r="T1013" s="3">
        <v>0</v>
      </c>
      <c r="U1013" s="21">
        <v>200000</v>
      </c>
    </row>
    <row r="1014" spans="1:258" s="9" customFormat="1" ht="21.95" customHeight="1">
      <c r="A1014" s="52" t="s">
        <v>1836</v>
      </c>
      <c r="B1014" s="24" t="s">
        <v>835</v>
      </c>
      <c r="C1014" s="1">
        <f t="shared" si="272"/>
        <v>3368000</v>
      </c>
      <c r="D1014" s="21">
        <f t="shared" si="271"/>
        <v>0</v>
      </c>
      <c r="E1014" s="21">
        <v>0</v>
      </c>
      <c r="F1014" s="21">
        <v>0</v>
      </c>
      <c r="G1014" s="21">
        <v>0</v>
      </c>
      <c r="H1014" s="21">
        <v>0</v>
      </c>
      <c r="I1014" s="21">
        <v>0</v>
      </c>
      <c r="J1014" s="21">
        <v>0</v>
      </c>
      <c r="K1014" s="40">
        <v>0</v>
      </c>
      <c r="L1014" s="21">
        <v>0</v>
      </c>
      <c r="M1014" s="3">
        <v>960</v>
      </c>
      <c r="N1014" s="3">
        <v>3168000</v>
      </c>
      <c r="O1014" s="21">
        <v>0</v>
      </c>
      <c r="P1014" s="21">
        <v>0</v>
      </c>
      <c r="Q1014" s="21">
        <v>0</v>
      </c>
      <c r="R1014" s="21">
        <v>0</v>
      </c>
      <c r="S1014" s="21">
        <v>0</v>
      </c>
      <c r="T1014" s="3">
        <v>0</v>
      </c>
      <c r="U1014" s="21">
        <v>200000</v>
      </c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  <c r="FE1014" s="2"/>
      <c r="FF1014" s="2"/>
      <c r="FG1014" s="2"/>
      <c r="FH1014" s="2"/>
      <c r="FI1014" s="2"/>
      <c r="FJ1014" s="2"/>
      <c r="FK1014" s="2"/>
      <c r="FL1014" s="2"/>
      <c r="FM1014" s="2"/>
      <c r="FN1014" s="2"/>
      <c r="FO1014" s="2"/>
      <c r="FP1014" s="2"/>
      <c r="FQ1014" s="2"/>
      <c r="FR1014" s="2"/>
      <c r="FS1014" s="2"/>
      <c r="FT1014" s="2"/>
      <c r="FU1014" s="2"/>
      <c r="FV1014" s="2"/>
      <c r="FW1014" s="2"/>
      <c r="FX1014" s="2"/>
      <c r="FY1014" s="2"/>
      <c r="FZ1014" s="2"/>
      <c r="GA1014" s="2"/>
      <c r="GB1014" s="2"/>
      <c r="GC1014" s="2"/>
      <c r="GD1014" s="2"/>
      <c r="GE1014" s="2"/>
      <c r="GF1014" s="2"/>
      <c r="GG1014" s="2"/>
      <c r="GH1014" s="2"/>
      <c r="GI1014" s="2"/>
      <c r="GJ1014" s="2"/>
      <c r="GK1014" s="2"/>
      <c r="GL1014" s="2"/>
      <c r="GM1014" s="2"/>
      <c r="GN1014" s="2"/>
      <c r="GO1014" s="2"/>
      <c r="GP1014" s="2"/>
      <c r="GQ1014" s="2"/>
      <c r="GR1014" s="2"/>
      <c r="GS1014" s="2"/>
      <c r="GT1014" s="2"/>
      <c r="GU1014" s="2"/>
      <c r="GV1014" s="2"/>
      <c r="GW1014" s="2"/>
      <c r="GX1014" s="2"/>
      <c r="GY1014" s="2"/>
      <c r="GZ1014" s="2"/>
      <c r="HA1014" s="2"/>
      <c r="HB1014" s="2"/>
      <c r="HC1014" s="2"/>
      <c r="HD1014" s="2"/>
      <c r="HE1014" s="2"/>
      <c r="HF1014" s="2"/>
      <c r="HG1014" s="2"/>
      <c r="HH1014" s="2"/>
      <c r="HI1014" s="2"/>
      <c r="HJ1014" s="2"/>
      <c r="HK1014" s="2"/>
      <c r="HL1014" s="2"/>
      <c r="HM1014" s="2"/>
      <c r="HN1014" s="2"/>
      <c r="HO1014" s="2"/>
      <c r="HP1014" s="2"/>
      <c r="HQ1014" s="2"/>
      <c r="HR1014" s="2"/>
      <c r="HS1014" s="2"/>
      <c r="HT1014" s="2"/>
      <c r="HU1014" s="2"/>
      <c r="HV1014" s="2"/>
      <c r="HW1014" s="2"/>
      <c r="HX1014" s="2"/>
      <c r="HY1014" s="2"/>
      <c r="HZ1014" s="2"/>
      <c r="IA1014" s="2"/>
      <c r="IB1014" s="2"/>
      <c r="IC1014" s="2"/>
      <c r="ID1014" s="2"/>
      <c r="IE1014" s="2"/>
      <c r="IF1014" s="2"/>
      <c r="IG1014" s="2"/>
      <c r="IH1014" s="2"/>
      <c r="II1014" s="2"/>
      <c r="IJ1014" s="2"/>
      <c r="IK1014" s="2"/>
      <c r="IL1014" s="2"/>
      <c r="IM1014" s="2"/>
      <c r="IN1014" s="2"/>
      <c r="IO1014" s="2"/>
      <c r="IP1014" s="2"/>
      <c r="IQ1014" s="2"/>
      <c r="IR1014" s="2"/>
      <c r="IS1014" s="2"/>
      <c r="IT1014" s="2"/>
      <c r="IU1014" s="2"/>
      <c r="IV1014" s="2"/>
      <c r="IW1014" s="2"/>
      <c r="IX1014" s="2"/>
    </row>
    <row r="1015" spans="1:258" ht="21.95" customHeight="1">
      <c r="A1015" s="52" t="s">
        <v>1837</v>
      </c>
      <c r="B1015" s="24" t="s">
        <v>760</v>
      </c>
      <c r="C1015" s="1">
        <f t="shared" si="272"/>
        <v>2297634</v>
      </c>
      <c r="D1015" s="21">
        <f t="shared" si="271"/>
        <v>0</v>
      </c>
      <c r="E1015" s="21">
        <v>0</v>
      </c>
      <c r="F1015" s="21">
        <v>0</v>
      </c>
      <c r="G1015" s="21">
        <v>0</v>
      </c>
      <c r="H1015" s="21">
        <v>0</v>
      </c>
      <c r="I1015" s="21">
        <v>0</v>
      </c>
      <c r="J1015" s="21">
        <v>0</v>
      </c>
      <c r="K1015" s="40">
        <v>0</v>
      </c>
      <c r="L1015" s="21">
        <v>0</v>
      </c>
      <c r="M1015" s="21">
        <v>395.78</v>
      </c>
      <c r="N1015" s="21">
        <v>2097634</v>
      </c>
      <c r="O1015" s="21">
        <v>0</v>
      </c>
      <c r="P1015" s="21">
        <v>0</v>
      </c>
      <c r="Q1015" s="21">
        <v>0</v>
      </c>
      <c r="R1015" s="21">
        <v>0</v>
      </c>
      <c r="S1015" s="21">
        <v>0</v>
      </c>
      <c r="T1015" s="3">
        <v>0</v>
      </c>
      <c r="U1015" s="21">
        <v>200000</v>
      </c>
    </row>
    <row r="1016" spans="1:258" ht="21.95" customHeight="1">
      <c r="A1016" s="52" t="s">
        <v>1838</v>
      </c>
      <c r="B1016" s="24" t="s">
        <v>836</v>
      </c>
      <c r="C1016" s="1">
        <f t="shared" si="272"/>
        <v>2219300</v>
      </c>
      <c r="D1016" s="21">
        <f t="shared" si="271"/>
        <v>0</v>
      </c>
      <c r="E1016" s="21">
        <v>0</v>
      </c>
      <c r="F1016" s="21">
        <v>0</v>
      </c>
      <c r="G1016" s="21">
        <v>0</v>
      </c>
      <c r="H1016" s="21">
        <v>0</v>
      </c>
      <c r="I1016" s="21">
        <v>0</v>
      </c>
      <c r="J1016" s="21">
        <v>0</v>
      </c>
      <c r="K1016" s="40">
        <v>0</v>
      </c>
      <c r="L1016" s="21">
        <v>0</v>
      </c>
      <c r="M1016" s="3">
        <v>381</v>
      </c>
      <c r="N1016" s="3">
        <v>2019300</v>
      </c>
      <c r="O1016" s="21">
        <v>0</v>
      </c>
      <c r="P1016" s="21">
        <v>0</v>
      </c>
      <c r="Q1016" s="21">
        <v>0</v>
      </c>
      <c r="R1016" s="21">
        <v>0</v>
      </c>
      <c r="S1016" s="21">
        <v>0</v>
      </c>
      <c r="T1016" s="3">
        <v>0</v>
      </c>
      <c r="U1016" s="21">
        <v>200000</v>
      </c>
    </row>
    <row r="1017" spans="1:258" s="14" customFormat="1" ht="21.95" customHeight="1">
      <c r="A1017" s="52" t="s">
        <v>1839</v>
      </c>
      <c r="B1017" s="24" t="s">
        <v>761</v>
      </c>
      <c r="C1017" s="1">
        <f t="shared" si="272"/>
        <v>1567400</v>
      </c>
      <c r="D1017" s="21">
        <f t="shared" si="271"/>
        <v>0</v>
      </c>
      <c r="E1017" s="21">
        <v>0</v>
      </c>
      <c r="F1017" s="21">
        <v>0</v>
      </c>
      <c r="G1017" s="21">
        <v>0</v>
      </c>
      <c r="H1017" s="21">
        <v>0</v>
      </c>
      <c r="I1017" s="21">
        <v>0</v>
      </c>
      <c r="J1017" s="21">
        <v>0</v>
      </c>
      <c r="K1017" s="40">
        <v>0</v>
      </c>
      <c r="L1017" s="21">
        <v>0</v>
      </c>
      <c r="M1017" s="3">
        <v>258</v>
      </c>
      <c r="N1017" s="3">
        <v>1367400</v>
      </c>
      <c r="O1017" s="21">
        <v>0</v>
      </c>
      <c r="P1017" s="21">
        <v>0</v>
      </c>
      <c r="Q1017" s="21">
        <v>0</v>
      </c>
      <c r="R1017" s="21">
        <v>0</v>
      </c>
      <c r="S1017" s="21">
        <v>0</v>
      </c>
      <c r="T1017" s="3">
        <v>0</v>
      </c>
      <c r="U1017" s="21">
        <v>200000</v>
      </c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  <c r="FE1017" s="2"/>
      <c r="FF1017" s="2"/>
      <c r="FG1017" s="2"/>
      <c r="FH1017" s="2"/>
      <c r="FI1017" s="2"/>
      <c r="FJ1017" s="2"/>
      <c r="FK1017" s="2"/>
      <c r="FL1017" s="2"/>
      <c r="FM1017" s="2"/>
      <c r="FN1017" s="2"/>
      <c r="FO1017" s="2"/>
      <c r="FP1017" s="2"/>
      <c r="FQ1017" s="2"/>
      <c r="FR1017" s="2"/>
      <c r="FS1017" s="2"/>
      <c r="FT1017" s="2"/>
      <c r="FU1017" s="2"/>
      <c r="FV1017" s="2"/>
      <c r="FW1017" s="2"/>
      <c r="FX1017" s="2"/>
      <c r="FY1017" s="2"/>
      <c r="FZ1017" s="2"/>
      <c r="GA1017" s="2"/>
      <c r="GB1017" s="2"/>
      <c r="GC1017" s="2"/>
      <c r="GD1017" s="2"/>
      <c r="GE1017" s="2"/>
      <c r="GF1017" s="2"/>
      <c r="GG1017" s="2"/>
      <c r="GH1017" s="2"/>
      <c r="GI1017" s="2"/>
      <c r="GJ1017" s="2"/>
      <c r="GK1017" s="2"/>
      <c r="GL1017" s="2"/>
      <c r="GM1017" s="2"/>
      <c r="GN1017" s="2"/>
      <c r="GO1017" s="2"/>
      <c r="GP1017" s="2"/>
      <c r="GQ1017" s="2"/>
      <c r="GR1017" s="2"/>
      <c r="GS1017" s="2"/>
      <c r="GT1017" s="2"/>
      <c r="GU1017" s="2"/>
      <c r="GV1017" s="2"/>
      <c r="GW1017" s="2"/>
      <c r="GX1017" s="2"/>
      <c r="GY1017" s="2"/>
      <c r="GZ1017" s="2"/>
      <c r="HA1017" s="2"/>
      <c r="HB1017" s="2"/>
      <c r="HC1017" s="2"/>
      <c r="HD1017" s="2"/>
      <c r="HE1017" s="2"/>
      <c r="HF1017" s="2"/>
      <c r="HG1017" s="2"/>
      <c r="HH1017" s="2"/>
      <c r="HI1017" s="2"/>
      <c r="HJ1017" s="2"/>
      <c r="HK1017" s="2"/>
      <c r="HL1017" s="2"/>
      <c r="HM1017" s="2"/>
      <c r="HN1017" s="2"/>
      <c r="HO1017" s="2"/>
      <c r="HP1017" s="2"/>
      <c r="HQ1017" s="2"/>
      <c r="HR1017" s="2"/>
      <c r="HS1017" s="2"/>
      <c r="HT1017" s="2"/>
      <c r="HU1017" s="2"/>
      <c r="HV1017" s="2"/>
      <c r="HW1017" s="2"/>
      <c r="HX1017" s="2"/>
      <c r="HY1017" s="2"/>
      <c r="HZ1017" s="2"/>
      <c r="IA1017" s="2"/>
      <c r="IB1017" s="2"/>
      <c r="IC1017" s="2"/>
      <c r="ID1017" s="2"/>
      <c r="IE1017" s="2"/>
      <c r="IF1017" s="2"/>
      <c r="IG1017" s="2"/>
      <c r="IH1017" s="2"/>
      <c r="II1017" s="2"/>
      <c r="IJ1017" s="2"/>
      <c r="IK1017" s="2"/>
      <c r="IL1017" s="2"/>
      <c r="IM1017" s="2"/>
      <c r="IN1017" s="2"/>
      <c r="IO1017" s="2"/>
      <c r="IP1017" s="2"/>
      <c r="IQ1017" s="2"/>
      <c r="IR1017" s="2"/>
      <c r="IS1017" s="2"/>
      <c r="IT1017" s="2"/>
      <c r="IU1017" s="2"/>
      <c r="IV1017" s="2"/>
      <c r="IW1017" s="2"/>
      <c r="IX1017" s="2"/>
    </row>
    <row r="1018" spans="1:258" ht="21.95" customHeight="1">
      <c r="A1018" s="52" t="s">
        <v>1840</v>
      </c>
      <c r="B1018" s="24" t="s">
        <v>762</v>
      </c>
      <c r="C1018" s="1">
        <f t="shared" si="272"/>
        <v>2677520</v>
      </c>
      <c r="D1018" s="21">
        <f t="shared" si="271"/>
        <v>677520</v>
      </c>
      <c r="E1018" s="21">
        <f>350*282.3</f>
        <v>98805</v>
      </c>
      <c r="F1018" s="21">
        <f>800*282.3</f>
        <v>225840</v>
      </c>
      <c r="G1018" s="21">
        <f>350*282.3</f>
        <v>98805</v>
      </c>
      <c r="H1018" s="21">
        <f>500*282.3</f>
        <v>141150</v>
      </c>
      <c r="I1018" s="21">
        <f>400*282.3</f>
        <v>112920</v>
      </c>
      <c r="J1018" s="21">
        <v>0</v>
      </c>
      <c r="K1018" s="40">
        <v>0</v>
      </c>
      <c r="L1018" s="21">
        <v>0</v>
      </c>
      <c r="M1018" s="3">
        <v>202.1</v>
      </c>
      <c r="N1018" s="3">
        <v>1000000</v>
      </c>
      <c r="O1018" s="21">
        <v>0</v>
      </c>
      <c r="P1018" s="21">
        <v>0</v>
      </c>
      <c r="Q1018" s="21">
        <v>357</v>
      </c>
      <c r="R1018" s="21">
        <v>800000</v>
      </c>
      <c r="S1018" s="21">
        <v>0</v>
      </c>
      <c r="T1018" s="3">
        <v>0</v>
      </c>
      <c r="U1018" s="21">
        <v>200000</v>
      </c>
    </row>
    <row r="1019" spans="1:258" ht="21.95" customHeight="1">
      <c r="A1019" s="52" t="s">
        <v>1841</v>
      </c>
      <c r="B1019" s="30" t="s">
        <v>837</v>
      </c>
      <c r="C1019" s="1">
        <f t="shared" si="272"/>
        <v>5182000</v>
      </c>
      <c r="D1019" s="21">
        <f t="shared" si="271"/>
        <v>0</v>
      </c>
      <c r="E1019" s="21">
        <v>0</v>
      </c>
      <c r="F1019" s="21">
        <v>0</v>
      </c>
      <c r="G1019" s="21">
        <v>0</v>
      </c>
      <c r="H1019" s="21">
        <v>0</v>
      </c>
      <c r="I1019" s="21">
        <v>0</v>
      </c>
      <c r="J1019" s="21">
        <v>0</v>
      </c>
      <c r="K1019" s="40">
        <v>0</v>
      </c>
      <c r="L1019" s="21">
        <v>0</v>
      </c>
      <c r="M1019" s="3">
        <v>940</v>
      </c>
      <c r="N1019" s="3">
        <v>4982000</v>
      </c>
      <c r="O1019" s="21">
        <v>0</v>
      </c>
      <c r="P1019" s="21">
        <v>0</v>
      </c>
      <c r="Q1019" s="21">
        <v>0</v>
      </c>
      <c r="R1019" s="21">
        <v>0</v>
      </c>
      <c r="S1019" s="21">
        <v>0</v>
      </c>
      <c r="T1019" s="3">
        <v>0</v>
      </c>
      <c r="U1019" s="21">
        <v>200000</v>
      </c>
    </row>
    <row r="1020" spans="1:258" ht="21.95" customHeight="1">
      <c r="A1020" s="52" t="s">
        <v>1842</v>
      </c>
      <c r="B1020" s="30" t="s">
        <v>838</v>
      </c>
      <c r="C1020" s="1">
        <f t="shared" si="272"/>
        <v>5144900</v>
      </c>
      <c r="D1020" s="21">
        <f t="shared" si="271"/>
        <v>0</v>
      </c>
      <c r="E1020" s="21">
        <v>0</v>
      </c>
      <c r="F1020" s="21">
        <v>0</v>
      </c>
      <c r="G1020" s="21">
        <v>0</v>
      </c>
      <c r="H1020" s="21">
        <v>0</v>
      </c>
      <c r="I1020" s="21">
        <v>0</v>
      </c>
      <c r="J1020" s="21">
        <v>0</v>
      </c>
      <c r="K1020" s="40">
        <v>0</v>
      </c>
      <c r="L1020" s="21">
        <v>0</v>
      </c>
      <c r="M1020" s="3">
        <v>933</v>
      </c>
      <c r="N1020" s="3">
        <v>4944900</v>
      </c>
      <c r="O1020" s="21">
        <v>0</v>
      </c>
      <c r="P1020" s="21">
        <v>0</v>
      </c>
      <c r="Q1020" s="21">
        <v>0</v>
      </c>
      <c r="R1020" s="21">
        <v>0</v>
      </c>
      <c r="S1020" s="21">
        <v>0</v>
      </c>
      <c r="T1020" s="3">
        <v>0</v>
      </c>
      <c r="U1020" s="21">
        <v>200000</v>
      </c>
    </row>
    <row r="1021" spans="1:258" ht="21.95" customHeight="1">
      <c r="A1021" s="52" t="s">
        <v>1843</v>
      </c>
      <c r="B1021" s="24" t="s">
        <v>839</v>
      </c>
      <c r="C1021" s="1">
        <f t="shared" si="272"/>
        <v>3539000</v>
      </c>
      <c r="D1021" s="21">
        <f t="shared" si="271"/>
        <v>0</v>
      </c>
      <c r="E1021" s="21">
        <v>0</v>
      </c>
      <c r="F1021" s="21">
        <v>0</v>
      </c>
      <c r="G1021" s="21">
        <v>0</v>
      </c>
      <c r="H1021" s="21">
        <v>0</v>
      </c>
      <c r="I1021" s="21">
        <v>0</v>
      </c>
      <c r="J1021" s="21">
        <v>0</v>
      </c>
      <c r="K1021" s="40">
        <v>0</v>
      </c>
      <c r="L1021" s="21">
        <v>0</v>
      </c>
      <c r="M1021" s="3">
        <v>630</v>
      </c>
      <c r="N1021" s="3">
        <v>3339000</v>
      </c>
      <c r="O1021" s="21">
        <v>0</v>
      </c>
      <c r="P1021" s="21">
        <v>0</v>
      </c>
      <c r="Q1021" s="21">
        <v>0</v>
      </c>
      <c r="R1021" s="21">
        <v>0</v>
      </c>
      <c r="S1021" s="21">
        <v>0</v>
      </c>
      <c r="T1021" s="3">
        <v>0</v>
      </c>
      <c r="U1021" s="21">
        <v>200000</v>
      </c>
    </row>
    <row r="1022" spans="1:258" ht="21.95" customHeight="1">
      <c r="A1022" s="52" t="s">
        <v>1844</v>
      </c>
      <c r="B1022" s="24" t="s">
        <v>840</v>
      </c>
      <c r="C1022" s="1">
        <f t="shared" si="272"/>
        <v>1800600</v>
      </c>
      <c r="D1022" s="21">
        <f t="shared" si="271"/>
        <v>0</v>
      </c>
      <c r="E1022" s="21">
        <v>0</v>
      </c>
      <c r="F1022" s="21">
        <v>0</v>
      </c>
      <c r="G1022" s="21">
        <v>0</v>
      </c>
      <c r="H1022" s="21">
        <v>0</v>
      </c>
      <c r="I1022" s="21">
        <v>0</v>
      </c>
      <c r="J1022" s="21">
        <v>0</v>
      </c>
      <c r="K1022" s="40">
        <v>0</v>
      </c>
      <c r="L1022" s="21">
        <v>0</v>
      </c>
      <c r="M1022" s="3">
        <v>302</v>
      </c>
      <c r="N1022" s="3">
        <v>1600600</v>
      </c>
      <c r="O1022" s="21">
        <v>0</v>
      </c>
      <c r="P1022" s="21">
        <v>0</v>
      </c>
      <c r="Q1022" s="21">
        <v>0</v>
      </c>
      <c r="R1022" s="21">
        <v>0</v>
      </c>
      <c r="S1022" s="21">
        <v>0</v>
      </c>
      <c r="T1022" s="3">
        <v>0</v>
      </c>
      <c r="U1022" s="21">
        <v>200000</v>
      </c>
    </row>
    <row r="1023" spans="1:258" ht="21.95" customHeight="1">
      <c r="A1023" s="52" t="s">
        <v>1845</v>
      </c>
      <c r="B1023" s="24" t="s">
        <v>763</v>
      </c>
      <c r="C1023" s="1">
        <f t="shared" si="272"/>
        <v>1409990</v>
      </c>
      <c r="D1023" s="21">
        <f t="shared" si="271"/>
        <v>0</v>
      </c>
      <c r="E1023" s="21">
        <v>0</v>
      </c>
      <c r="F1023" s="21">
        <v>0</v>
      </c>
      <c r="G1023" s="21">
        <v>0</v>
      </c>
      <c r="H1023" s="21">
        <v>0</v>
      </c>
      <c r="I1023" s="21">
        <v>0</v>
      </c>
      <c r="J1023" s="21">
        <v>0</v>
      </c>
      <c r="K1023" s="40">
        <v>0</v>
      </c>
      <c r="L1023" s="21">
        <v>0</v>
      </c>
      <c r="M1023" s="3">
        <v>228.3</v>
      </c>
      <c r="N1023" s="3">
        <v>1209990</v>
      </c>
      <c r="O1023" s="21">
        <v>0</v>
      </c>
      <c r="P1023" s="21">
        <v>0</v>
      </c>
      <c r="Q1023" s="21">
        <v>0</v>
      </c>
      <c r="R1023" s="21">
        <v>0</v>
      </c>
      <c r="S1023" s="21">
        <v>0</v>
      </c>
      <c r="T1023" s="3">
        <v>0</v>
      </c>
      <c r="U1023" s="21">
        <v>200000</v>
      </c>
    </row>
    <row r="1024" spans="1:258" ht="21.95" customHeight="1">
      <c r="A1024" s="52" t="s">
        <v>1846</v>
      </c>
      <c r="B1024" s="24" t="s">
        <v>841</v>
      </c>
      <c r="C1024" s="1">
        <f t="shared" si="272"/>
        <v>1413700</v>
      </c>
      <c r="D1024" s="21">
        <f t="shared" si="271"/>
        <v>0</v>
      </c>
      <c r="E1024" s="21">
        <v>0</v>
      </c>
      <c r="F1024" s="21">
        <v>0</v>
      </c>
      <c r="G1024" s="21">
        <v>0</v>
      </c>
      <c r="H1024" s="21">
        <v>0</v>
      </c>
      <c r="I1024" s="21">
        <v>0</v>
      </c>
      <c r="J1024" s="21">
        <v>0</v>
      </c>
      <c r="K1024" s="40">
        <v>0</v>
      </c>
      <c r="L1024" s="21">
        <v>0</v>
      </c>
      <c r="M1024" s="3">
        <v>229</v>
      </c>
      <c r="N1024" s="3">
        <v>1213700</v>
      </c>
      <c r="O1024" s="21">
        <v>0</v>
      </c>
      <c r="P1024" s="21">
        <v>0</v>
      </c>
      <c r="Q1024" s="21">
        <v>0</v>
      </c>
      <c r="R1024" s="21">
        <v>0</v>
      </c>
      <c r="S1024" s="21">
        <v>0</v>
      </c>
      <c r="T1024" s="3">
        <v>0</v>
      </c>
      <c r="U1024" s="21">
        <v>200000</v>
      </c>
    </row>
    <row r="1025" spans="1:258" ht="21.95" customHeight="1">
      <c r="A1025" s="52" t="s">
        <v>1847</v>
      </c>
      <c r="B1025" s="24" t="s">
        <v>842</v>
      </c>
      <c r="C1025" s="1">
        <f t="shared" si="272"/>
        <v>1731700</v>
      </c>
      <c r="D1025" s="21">
        <f t="shared" si="271"/>
        <v>0</v>
      </c>
      <c r="E1025" s="21">
        <v>0</v>
      </c>
      <c r="F1025" s="21">
        <v>0</v>
      </c>
      <c r="G1025" s="21">
        <v>0</v>
      </c>
      <c r="H1025" s="21">
        <v>0</v>
      </c>
      <c r="I1025" s="21">
        <v>0</v>
      </c>
      <c r="J1025" s="21">
        <v>0</v>
      </c>
      <c r="K1025" s="40">
        <v>0</v>
      </c>
      <c r="L1025" s="21">
        <v>0</v>
      </c>
      <c r="M1025" s="3">
        <v>289</v>
      </c>
      <c r="N1025" s="3">
        <v>1531700</v>
      </c>
      <c r="O1025" s="21">
        <v>0</v>
      </c>
      <c r="P1025" s="21">
        <v>0</v>
      </c>
      <c r="Q1025" s="21">
        <v>0</v>
      </c>
      <c r="R1025" s="21">
        <v>0</v>
      </c>
      <c r="S1025" s="21">
        <v>0</v>
      </c>
      <c r="T1025" s="3">
        <v>0</v>
      </c>
      <c r="U1025" s="21">
        <v>200000</v>
      </c>
    </row>
    <row r="1026" spans="1:258" ht="21.95" customHeight="1">
      <c r="A1026" s="52" t="s">
        <v>1848</v>
      </c>
      <c r="B1026" s="24" t="s">
        <v>764</v>
      </c>
      <c r="C1026" s="1">
        <f t="shared" si="272"/>
        <v>2182200</v>
      </c>
      <c r="D1026" s="21">
        <f t="shared" si="271"/>
        <v>0</v>
      </c>
      <c r="E1026" s="21">
        <v>0</v>
      </c>
      <c r="F1026" s="21">
        <v>0</v>
      </c>
      <c r="G1026" s="21">
        <v>0</v>
      </c>
      <c r="H1026" s="21">
        <v>0</v>
      </c>
      <c r="I1026" s="21">
        <v>0</v>
      </c>
      <c r="J1026" s="21">
        <v>0</v>
      </c>
      <c r="K1026" s="40">
        <v>0</v>
      </c>
      <c r="L1026" s="21">
        <v>0</v>
      </c>
      <c r="M1026" s="21">
        <v>374</v>
      </c>
      <c r="N1026" s="23">
        <v>1982200</v>
      </c>
      <c r="O1026" s="21">
        <v>0</v>
      </c>
      <c r="P1026" s="21">
        <v>0</v>
      </c>
      <c r="Q1026" s="21">
        <v>0</v>
      </c>
      <c r="R1026" s="21">
        <v>0</v>
      </c>
      <c r="S1026" s="21">
        <v>0</v>
      </c>
      <c r="T1026" s="3">
        <v>0</v>
      </c>
      <c r="U1026" s="21">
        <v>200000</v>
      </c>
    </row>
    <row r="1027" spans="1:258" ht="21.95" customHeight="1">
      <c r="A1027" s="52" t="s">
        <v>1849</v>
      </c>
      <c r="B1027" s="24" t="s">
        <v>765</v>
      </c>
      <c r="C1027" s="1">
        <f t="shared" si="272"/>
        <v>3512500</v>
      </c>
      <c r="D1027" s="21">
        <f t="shared" ref="D1027:D1068" si="273">SUM(E1027:J1027)</f>
        <v>0</v>
      </c>
      <c r="E1027" s="21">
        <v>0</v>
      </c>
      <c r="F1027" s="21">
        <v>0</v>
      </c>
      <c r="G1027" s="21">
        <v>0</v>
      </c>
      <c r="H1027" s="21">
        <v>0</v>
      </c>
      <c r="I1027" s="21">
        <v>0</v>
      </c>
      <c r="J1027" s="21">
        <v>0</v>
      </c>
      <c r="K1027" s="40">
        <v>0</v>
      </c>
      <c r="L1027" s="21">
        <v>0</v>
      </c>
      <c r="M1027" s="3">
        <v>625</v>
      </c>
      <c r="N1027" s="3">
        <v>3312500</v>
      </c>
      <c r="O1027" s="21">
        <v>0</v>
      </c>
      <c r="P1027" s="21">
        <v>0</v>
      </c>
      <c r="Q1027" s="21">
        <v>0</v>
      </c>
      <c r="R1027" s="21">
        <v>0</v>
      </c>
      <c r="S1027" s="21">
        <v>0</v>
      </c>
      <c r="T1027" s="3">
        <v>0</v>
      </c>
      <c r="U1027" s="21">
        <v>200000</v>
      </c>
    </row>
    <row r="1028" spans="1:258" ht="21.95" customHeight="1">
      <c r="A1028" s="52" t="s">
        <v>1850</v>
      </c>
      <c r="B1028" s="24" t="s">
        <v>766</v>
      </c>
      <c r="C1028" s="1">
        <f t="shared" si="272"/>
        <v>1991400</v>
      </c>
      <c r="D1028" s="21">
        <f t="shared" si="273"/>
        <v>0</v>
      </c>
      <c r="E1028" s="21">
        <v>0</v>
      </c>
      <c r="F1028" s="21">
        <v>0</v>
      </c>
      <c r="G1028" s="21">
        <v>0</v>
      </c>
      <c r="H1028" s="21">
        <v>0</v>
      </c>
      <c r="I1028" s="21">
        <v>0</v>
      </c>
      <c r="J1028" s="21">
        <v>0</v>
      </c>
      <c r="K1028" s="40">
        <v>0</v>
      </c>
      <c r="L1028" s="21">
        <v>0</v>
      </c>
      <c r="M1028" s="21">
        <v>338</v>
      </c>
      <c r="N1028" s="21">
        <v>1791400</v>
      </c>
      <c r="O1028" s="21">
        <v>0</v>
      </c>
      <c r="P1028" s="21">
        <v>0</v>
      </c>
      <c r="Q1028" s="21">
        <v>0</v>
      </c>
      <c r="R1028" s="21">
        <v>0</v>
      </c>
      <c r="S1028" s="21">
        <v>0</v>
      </c>
      <c r="T1028" s="3">
        <v>0</v>
      </c>
      <c r="U1028" s="21">
        <v>200000</v>
      </c>
    </row>
    <row r="1029" spans="1:258" ht="21.95" customHeight="1">
      <c r="A1029" s="52" t="s">
        <v>1851</v>
      </c>
      <c r="B1029" s="24" t="s">
        <v>767</v>
      </c>
      <c r="C1029" s="1">
        <f t="shared" si="272"/>
        <v>1605560</v>
      </c>
      <c r="D1029" s="21">
        <f t="shared" si="273"/>
        <v>0</v>
      </c>
      <c r="E1029" s="21">
        <v>0</v>
      </c>
      <c r="F1029" s="21">
        <v>0</v>
      </c>
      <c r="G1029" s="21">
        <v>0</v>
      </c>
      <c r="H1029" s="21">
        <v>0</v>
      </c>
      <c r="I1029" s="21">
        <v>0</v>
      </c>
      <c r="J1029" s="21">
        <v>0</v>
      </c>
      <c r="K1029" s="40">
        <v>0</v>
      </c>
      <c r="L1029" s="21">
        <v>0</v>
      </c>
      <c r="M1029" s="3">
        <v>265.2</v>
      </c>
      <c r="N1029" s="3">
        <v>1405560</v>
      </c>
      <c r="O1029" s="21">
        <v>0</v>
      </c>
      <c r="P1029" s="21">
        <v>0</v>
      </c>
      <c r="Q1029" s="21">
        <v>0</v>
      </c>
      <c r="R1029" s="21">
        <v>0</v>
      </c>
      <c r="S1029" s="21">
        <v>0</v>
      </c>
      <c r="T1029" s="3">
        <v>0</v>
      </c>
      <c r="U1029" s="21">
        <v>200000</v>
      </c>
      <c r="V1029" s="12"/>
      <c r="W1029" s="12"/>
      <c r="X1029" s="12"/>
      <c r="Y1029" s="12"/>
      <c r="Z1029" s="12"/>
      <c r="AA1029" s="12"/>
      <c r="AB1029" s="12"/>
      <c r="AC1029" s="12"/>
      <c r="AD1029" s="12"/>
      <c r="AE1029" s="12"/>
      <c r="AF1029" s="12"/>
      <c r="AG1029" s="12"/>
      <c r="AH1029" s="12"/>
      <c r="AI1029" s="12"/>
      <c r="AJ1029" s="12"/>
      <c r="AK1029" s="12"/>
      <c r="AL1029" s="12"/>
      <c r="AM1029" s="12"/>
      <c r="AN1029" s="12"/>
      <c r="AO1029" s="12"/>
      <c r="AP1029" s="12"/>
      <c r="AQ1029" s="12"/>
      <c r="AR1029" s="12"/>
      <c r="AS1029" s="12"/>
      <c r="AT1029" s="12"/>
      <c r="AU1029" s="12"/>
      <c r="AV1029" s="12"/>
      <c r="AW1029" s="12"/>
      <c r="AX1029" s="12"/>
      <c r="AY1029" s="12"/>
      <c r="AZ1029" s="12"/>
      <c r="BA1029" s="12"/>
      <c r="BB1029" s="12"/>
      <c r="BC1029" s="12"/>
      <c r="BD1029" s="12"/>
      <c r="BE1029" s="12"/>
      <c r="BF1029" s="12"/>
      <c r="BG1029" s="12"/>
      <c r="BH1029" s="12"/>
      <c r="BI1029" s="12"/>
      <c r="BJ1029" s="12"/>
      <c r="BK1029" s="12"/>
      <c r="BL1029" s="12"/>
      <c r="BM1029" s="12"/>
      <c r="BN1029" s="12"/>
      <c r="BO1029" s="12"/>
      <c r="BP1029" s="12"/>
      <c r="BQ1029" s="12"/>
      <c r="BR1029" s="12"/>
      <c r="BS1029" s="12"/>
      <c r="BT1029" s="12"/>
      <c r="BU1029" s="12"/>
      <c r="BV1029" s="12"/>
      <c r="BW1029" s="12"/>
      <c r="BX1029" s="12"/>
      <c r="BY1029" s="12"/>
      <c r="BZ1029" s="12"/>
      <c r="CA1029" s="12"/>
      <c r="CB1029" s="12"/>
      <c r="CC1029" s="12"/>
      <c r="CD1029" s="12"/>
      <c r="CE1029" s="12"/>
      <c r="CF1029" s="12"/>
      <c r="CG1029" s="12"/>
      <c r="CH1029" s="12"/>
      <c r="CI1029" s="12"/>
      <c r="CJ1029" s="12"/>
      <c r="CK1029" s="12"/>
      <c r="CL1029" s="12"/>
      <c r="CM1029" s="12"/>
      <c r="CN1029" s="12"/>
      <c r="CO1029" s="12"/>
      <c r="CP1029" s="12"/>
      <c r="CQ1029" s="12"/>
      <c r="CR1029" s="12"/>
      <c r="CS1029" s="12"/>
      <c r="CT1029" s="12"/>
      <c r="CU1029" s="12"/>
      <c r="CV1029" s="12"/>
      <c r="CW1029" s="12"/>
      <c r="CX1029" s="12"/>
      <c r="CY1029" s="12"/>
      <c r="CZ1029" s="12"/>
      <c r="DA1029" s="12"/>
      <c r="DB1029" s="12"/>
      <c r="DC1029" s="12"/>
      <c r="DD1029" s="12"/>
      <c r="DE1029" s="12"/>
      <c r="DF1029" s="12"/>
      <c r="DG1029" s="12"/>
      <c r="DH1029" s="12"/>
      <c r="DI1029" s="12"/>
      <c r="DJ1029" s="12"/>
      <c r="DK1029" s="12"/>
      <c r="DL1029" s="12"/>
      <c r="DM1029" s="12"/>
      <c r="DN1029" s="12"/>
      <c r="DO1029" s="12"/>
      <c r="DP1029" s="12"/>
      <c r="DQ1029" s="12"/>
      <c r="DR1029" s="12"/>
      <c r="DS1029" s="12"/>
      <c r="DT1029" s="12"/>
      <c r="DU1029" s="12"/>
      <c r="DV1029" s="12"/>
      <c r="DW1029" s="12"/>
      <c r="DX1029" s="12"/>
      <c r="DY1029" s="12"/>
      <c r="DZ1029" s="12"/>
      <c r="EA1029" s="12"/>
      <c r="EB1029" s="12"/>
      <c r="EC1029" s="12"/>
      <c r="ED1029" s="12"/>
      <c r="EE1029" s="12"/>
      <c r="EF1029" s="12"/>
      <c r="EG1029" s="12"/>
      <c r="EH1029" s="12"/>
      <c r="EI1029" s="12"/>
      <c r="EJ1029" s="12"/>
      <c r="EK1029" s="12"/>
      <c r="EL1029" s="12"/>
      <c r="EM1029" s="12"/>
      <c r="EN1029" s="12"/>
      <c r="EO1029" s="12"/>
      <c r="EP1029" s="12"/>
      <c r="EQ1029" s="12"/>
      <c r="ER1029" s="12"/>
      <c r="ES1029" s="12"/>
      <c r="ET1029" s="12"/>
      <c r="EU1029" s="12"/>
      <c r="EV1029" s="12"/>
      <c r="EW1029" s="12"/>
      <c r="EX1029" s="12"/>
      <c r="EY1029" s="12"/>
      <c r="EZ1029" s="12"/>
      <c r="FA1029" s="12"/>
      <c r="FB1029" s="12"/>
      <c r="FC1029" s="12"/>
      <c r="FD1029" s="12"/>
      <c r="FE1029" s="12"/>
      <c r="FF1029" s="12"/>
      <c r="FG1029" s="12"/>
      <c r="FH1029" s="12"/>
      <c r="FI1029" s="12"/>
      <c r="FJ1029" s="12"/>
      <c r="FK1029" s="12"/>
      <c r="FL1029" s="12"/>
      <c r="FM1029" s="12"/>
      <c r="FN1029" s="12"/>
      <c r="FO1029" s="12"/>
      <c r="FP1029" s="12"/>
      <c r="FQ1029" s="12"/>
      <c r="FR1029" s="12"/>
      <c r="FS1029" s="12"/>
      <c r="FT1029" s="12"/>
      <c r="FU1029" s="12"/>
      <c r="FV1029" s="12"/>
      <c r="FW1029" s="12"/>
      <c r="FX1029" s="12"/>
      <c r="FY1029" s="12"/>
      <c r="FZ1029" s="12"/>
      <c r="GA1029" s="12"/>
      <c r="GB1029" s="12"/>
      <c r="GC1029" s="12"/>
      <c r="GD1029" s="12"/>
      <c r="GE1029" s="12"/>
      <c r="GF1029" s="12"/>
      <c r="GG1029" s="12"/>
      <c r="GH1029" s="12"/>
      <c r="GI1029" s="12"/>
      <c r="GJ1029" s="12"/>
      <c r="GK1029" s="12"/>
      <c r="GL1029" s="12"/>
      <c r="GM1029" s="12"/>
      <c r="GN1029" s="12"/>
      <c r="GO1029" s="12"/>
      <c r="GP1029" s="12"/>
      <c r="GQ1029" s="12"/>
      <c r="GR1029" s="12"/>
      <c r="GS1029" s="12"/>
      <c r="GT1029" s="12"/>
      <c r="GU1029" s="12"/>
      <c r="GV1029" s="12"/>
      <c r="GW1029" s="12"/>
      <c r="GX1029" s="12"/>
      <c r="GY1029" s="12"/>
      <c r="GZ1029" s="12"/>
      <c r="HA1029" s="12"/>
      <c r="HB1029" s="12"/>
      <c r="HC1029" s="12"/>
      <c r="HD1029" s="12"/>
      <c r="HE1029" s="12"/>
      <c r="HF1029" s="12"/>
      <c r="HG1029" s="12"/>
      <c r="HH1029" s="12"/>
      <c r="HI1029" s="12"/>
      <c r="HJ1029" s="12"/>
      <c r="HK1029" s="12"/>
      <c r="HL1029" s="12"/>
      <c r="HM1029" s="12"/>
      <c r="HN1029" s="12"/>
      <c r="HO1029" s="12"/>
      <c r="HP1029" s="12"/>
      <c r="HQ1029" s="12"/>
      <c r="HR1029" s="12"/>
      <c r="HS1029" s="12"/>
      <c r="HT1029" s="12"/>
      <c r="HU1029" s="12"/>
      <c r="HV1029" s="12"/>
      <c r="HW1029" s="12"/>
      <c r="HX1029" s="12"/>
      <c r="HY1029" s="12"/>
      <c r="HZ1029" s="12"/>
      <c r="IA1029" s="12"/>
      <c r="IB1029" s="12"/>
      <c r="IC1029" s="12"/>
      <c r="ID1029" s="12"/>
      <c r="IE1029" s="12"/>
      <c r="IF1029" s="12"/>
      <c r="IG1029" s="12"/>
      <c r="IH1029" s="12"/>
      <c r="II1029" s="12"/>
      <c r="IJ1029" s="12"/>
      <c r="IK1029" s="12"/>
      <c r="IL1029" s="12"/>
      <c r="IM1029" s="12"/>
      <c r="IN1029" s="12"/>
      <c r="IO1029" s="12"/>
      <c r="IP1029" s="12"/>
      <c r="IQ1029" s="12"/>
      <c r="IR1029" s="12"/>
      <c r="IS1029" s="12"/>
      <c r="IT1029" s="12"/>
      <c r="IU1029" s="12"/>
      <c r="IV1029" s="12"/>
      <c r="IW1029" s="12"/>
      <c r="IX1029" s="12"/>
    </row>
    <row r="1030" spans="1:258" ht="21.95" customHeight="1">
      <c r="A1030" s="52" t="s">
        <v>1852</v>
      </c>
      <c r="B1030" s="24" t="s">
        <v>768</v>
      </c>
      <c r="C1030" s="1">
        <f t="shared" ref="C1030:C1093" si="274">D1030+L1030+N1030+P1030+R1030+S1030+T1030+U1030</f>
        <v>1603440</v>
      </c>
      <c r="D1030" s="21">
        <f t="shared" si="273"/>
        <v>0</v>
      </c>
      <c r="E1030" s="21">
        <v>0</v>
      </c>
      <c r="F1030" s="21">
        <v>0</v>
      </c>
      <c r="G1030" s="21">
        <v>0</v>
      </c>
      <c r="H1030" s="21">
        <v>0</v>
      </c>
      <c r="I1030" s="21">
        <v>0</v>
      </c>
      <c r="J1030" s="21">
        <v>0</v>
      </c>
      <c r="K1030" s="40">
        <v>0</v>
      </c>
      <c r="L1030" s="21">
        <v>0</v>
      </c>
      <c r="M1030" s="3">
        <v>264.8</v>
      </c>
      <c r="N1030" s="3">
        <v>1403440</v>
      </c>
      <c r="O1030" s="21">
        <v>0</v>
      </c>
      <c r="P1030" s="21">
        <v>0</v>
      </c>
      <c r="Q1030" s="21">
        <v>0</v>
      </c>
      <c r="R1030" s="21">
        <v>0</v>
      </c>
      <c r="S1030" s="21">
        <v>0</v>
      </c>
      <c r="T1030" s="3">
        <v>0</v>
      </c>
      <c r="U1030" s="21">
        <v>200000</v>
      </c>
    </row>
    <row r="1031" spans="1:258" ht="21.95" customHeight="1">
      <c r="A1031" s="52" t="s">
        <v>1853</v>
      </c>
      <c r="B1031" s="24" t="s">
        <v>843</v>
      </c>
      <c r="C1031" s="1">
        <f t="shared" si="274"/>
        <v>3024900</v>
      </c>
      <c r="D1031" s="21">
        <f t="shared" si="273"/>
        <v>0</v>
      </c>
      <c r="E1031" s="21">
        <v>0</v>
      </c>
      <c r="F1031" s="21">
        <v>0</v>
      </c>
      <c r="G1031" s="21">
        <v>0</v>
      </c>
      <c r="H1031" s="21">
        <v>0</v>
      </c>
      <c r="I1031" s="21">
        <v>0</v>
      </c>
      <c r="J1031" s="21">
        <v>0</v>
      </c>
      <c r="K1031" s="40">
        <v>0</v>
      </c>
      <c r="L1031" s="21">
        <v>0</v>
      </c>
      <c r="M1031" s="3">
        <v>533</v>
      </c>
      <c r="N1031" s="3">
        <v>2824900</v>
      </c>
      <c r="O1031" s="21">
        <v>0</v>
      </c>
      <c r="P1031" s="21">
        <v>0</v>
      </c>
      <c r="Q1031" s="21">
        <v>0</v>
      </c>
      <c r="R1031" s="21">
        <v>0</v>
      </c>
      <c r="S1031" s="21">
        <v>0</v>
      </c>
      <c r="T1031" s="3">
        <v>0</v>
      </c>
      <c r="U1031" s="21">
        <v>200000</v>
      </c>
    </row>
    <row r="1032" spans="1:258" ht="21.95" customHeight="1">
      <c r="A1032" s="52" t="s">
        <v>1854</v>
      </c>
      <c r="B1032" s="24" t="s">
        <v>769</v>
      </c>
      <c r="C1032" s="1">
        <f t="shared" si="274"/>
        <v>7475840</v>
      </c>
      <c r="D1032" s="21">
        <f t="shared" si="273"/>
        <v>0</v>
      </c>
      <c r="E1032" s="21">
        <v>0</v>
      </c>
      <c r="F1032" s="21">
        <v>0</v>
      </c>
      <c r="G1032" s="21">
        <v>0</v>
      </c>
      <c r="H1032" s="21">
        <v>0</v>
      </c>
      <c r="I1032" s="21">
        <v>0</v>
      </c>
      <c r="J1032" s="21">
        <v>0</v>
      </c>
      <c r="K1032" s="40">
        <v>0</v>
      </c>
      <c r="L1032" s="21">
        <v>0</v>
      </c>
      <c r="M1032" s="3">
        <v>1372.8</v>
      </c>
      <c r="N1032" s="3">
        <v>7275840</v>
      </c>
      <c r="O1032" s="21">
        <v>0</v>
      </c>
      <c r="P1032" s="21">
        <v>0</v>
      </c>
      <c r="Q1032" s="21">
        <v>0</v>
      </c>
      <c r="R1032" s="21">
        <v>0</v>
      </c>
      <c r="S1032" s="21">
        <v>0</v>
      </c>
      <c r="T1032" s="3">
        <v>0</v>
      </c>
      <c r="U1032" s="21">
        <v>200000</v>
      </c>
      <c r="V1032" s="13"/>
    </row>
    <row r="1033" spans="1:258" ht="21.95" customHeight="1">
      <c r="A1033" s="52" t="s">
        <v>1855</v>
      </c>
      <c r="B1033" s="24" t="s">
        <v>844</v>
      </c>
      <c r="C1033" s="1">
        <f t="shared" si="274"/>
        <v>1970200</v>
      </c>
      <c r="D1033" s="21">
        <f t="shared" si="273"/>
        <v>0</v>
      </c>
      <c r="E1033" s="21">
        <v>0</v>
      </c>
      <c r="F1033" s="21">
        <v>0</v>
      </c>
      <c r="G1033" s="21">
        <v>0</v>
      </c>
      <c r="H1033" s="21">
        <v>0</v>
      </c>
      <c r="I1033" s="21">
        <v>0</v>
      </c>
      <c r="J1033" s="21">
        <v>0</v>
      </c>
      <c r="K1033" s="40">
        <v>0</v>
      </c>
      <c r="L1033" s="21">
        <v>0</v>
      </c>
      <c r="M1033" s="21">
        <v>334</v>
      </c>
      <c r="N1033" s="21">
        <v>1770200</v>
      </c>
      <c r="O1033" s="21">
        <v>0</v>
      </c>
      <c r="P1033" s="21">
        <v>0</v>
      </c>
      <c r="Q1033" s="21">
        <v>0</v>
      </c>
      <c r="R1033" s="21">
        <v>0</v>
      </c>
      <c r="S1033" s="21">
        <v>0</v>
      </c>
      <c r="T1033" s="3">
        <v>0</v>
      </c>
      <c r="U1033" s="21">
        <v>200000</v>
      </c>
    </row>
    <row r="1034" spans="1:258" ht="21.95" customHeight="1">
      <c r="A1034" s="52" t="s">
        <v>1856</v>
      </c>
      <c r="B1034" s="24" t="s">
        <v>787</v>
      </c>
      <c r="C1034" s="1">
        <f t="shared" si="274"/>
        <v>3789050</v>
      </c>
      <c r="D1034" s="21">
        <f t="shared" si="273"/>
        <v>0</v>
      </c>
      <c r="E1034" s="21">
        <v>0</v>
      </c>
      <c r="F1034" s="21">
        <v>0</v>
      </c>
      <c r="G1034" s="21">
        <v>0</v>
      </c>
      <c r="H1034" s="21">
        <v>0</v>
      </c>
      <c r="I1034" s="21">
        <v>0</v>
      </c>
      <c r="J1034" s="21">
        <v>0</v>
      </c>
      <c r="K1034" s="40">
        <v>0</v>
      </c>
      <c r="L1034" s="21">
        <v>0</v>
      </c>
      <c r="M1034" s="21">
        <v>456</v>
      </c>
      <c r="N1034" s="21">
        <v>2416800</v>
      </c>
      <c r="O1034" s="21">
        <v>0</v>
      </c>
      <c r="P1034" s="21">
        <v>0</v>
      </c>
      <c r="Q1034" s="21">
        <v>450</v>
      </c>
      <c r="R1034" s="21">
        <v>1172250</v>
      </c>
      <c r="S1034" s="21">
        <v>0</v>
      </c>
      <c r="T1034" s="3">
        <v>0</v>
      </c>
      <c r="U1034" s="21">
        <v>200000</v>
      </c>
    </row>
    <row r="1035" spans="1:258" ht="21.95" customHeight="1">
      <c r="A1035" s="52" t="s">
        <v>1857</v>
      </c>
      <c r="B1035" s="30" t="s">
        <v>770</v>
      </c>
      <c r="C1035" s="1">
        <f t="shared" si="274"/>
        <v>7948600</v>
      </c>
      <c r="D1035" s="21">
        <f t="shared" si="273"/>
        <v>0</v>
      </c>
      <c r="E1035" s="21">
        <v>0</v>
      </c>
      <c r="F1035" s="21">
        <v>0</v>
      </c>
      <c r="G1035" s="21">
        <v>0</v>
      </c>
      <c r="H1035" s="21">
        <v>0</v>
      </c>
      <c r="I1035" s="21">
        <v>0</v>
      </c>
      <c r="J1035" s="21">
        <v>0</v>
      </c>
      <c r="K1035" s="40">
        <v>0</v>
      </c>
      <c r="L1035" s="21">
        <v>0</v>
      </c>
      <c r="M1035" s="21">
        <v>1462</v>
      </c>
      <c r="N1035" s="21">
        <v>7748600</v>
      </c>
      <c r="O1035" s="21">
        <v>0</v>
      </c>
      <c r="P1035" s="21">
        <v>0</v>
      </c>
      <c r="Q1035" s="21">
        <v>0</v>
      </c>
      <c r="R1035" s="21">
        <v>0</v>
      </c>
      <c r="S1035" s="21">
        <v>0</v>
      </c>
      <c r="T1035" s="3">
        <v>0</v>
      </c>
      <c r="U1035" s="21">
        <v>200000</v>
      </c>
    </row>
    <row r="1036" spans="1:258" ht="21.95" customHeight="1">
      <c r="A1036" s="52" t="s">
        <v>1858</v>
      </c>
      <c r="B1036" s="30" t="s">
        <v>771</v>
      </c>
      <c r="C1036" s="1">
        <f t="shared" si="274"/>
        <v>5690800</v>
      </c>
      <c r="D1036" s="21">
        <f t="shared" si="273"/>
        <v>0</v>
      </c>
      <c r="E1036" s="21">
        <v>0</v>
      </c>
      <c r="F1036" s="21">
        <v>0</v>
      </c>
      <c r="G1036" s="21">
        <v>0</v>
      </c>
      <c r="H1036" s="21">
        <v>0</v>
      </c>
      <c r="I1036" s="21">
        <v>0</v>
      </c>
      <c r="J1036" s="21">
        <v>0</v>
      </c>
      <c r="K1036" s="40">
        <v>0</v>
      </c>
      <c r="L1036" s="21">
        <v>0</v>
      </c>
      <c r="M1036" s="21">
        <v>1036</v>
      </c>
      <c r="N1036" s="21">
        <v>5490800</v>
      </c>
      <c r="O1036" s="21">
        <v>0</v>
      </c>
      <c r="P1036" s="21">
        <v>0</v>
      </c>
      <c r="Q1036" s="21">
        <v>0</v>
      </c>
      <c r="R1036" s="21">
        <v>0</v>
      </c>
      <c r="S1036" s="21">
        <v>0</v>
      </c>
      <c r="T1036" s="3">
        <v>0</v>
      </c>
      <c r="U1036" s="21">
        <v>200000</v>
      </c>
    </row>
    <row r="1037" spans="1:258" ht="21.95" customHeight="1">
      <c r="A1037" s="52" t="s">
        <v>1859</v>
      </c>
      <c r="B1037" s="30" t="s">
        <v>772</v>
      </c>
      <c r="C1037" s="1">
        <f t="shared" si="274"/>
        <v>5733200</v>
      </c>
      <c r="D1037" s="21">
        <f t="shared" si="273"/>
        <v>0</v>
      </c>
      <c r="E1037" s="21">
        <v>0</v>
      </c>
      <c r="F1037" s="21">
        <v>0</v>
      </c>
      <c r="G1037" s="21">
        <v>0</v>
      </c>
      <c r="H1037" s="21">
        <v>0</v>
      </c>
      <c r="I1037" s="21">
        <v>0</v>
      </c>
      <c r="J1037" s="21">
        <v>0</v>
      </c>
      <c r="K1037" s="40">
        <v>0</v>
      </c>
      <c r="L1037" s="21">
        <v>0</v>
      </c>
      <c r="M1037" s="21">
        <v>1044</v>
      </c>
      <c r="N1037" s="21">
        <v>5533200</v>
      </c>
      <c r="O1037" s="21">
        <v>0</v>
      </c>
      <c r="P1037" s="21">
        <v>0</v>
      </c>
      <c r="Q1037" s="21">
        <v>0</v>
      </c>
      <c r="R1037" s="21">
        <v>0</v>
      </c>
      <c r="S1037" s="21">
        <v>0</v>
      </c>
      <c r="T1037" s="3">
        <v>0</v>
      </c>
      <c r="U1037" s="21">
        <v>200000</v>
      </c>
    </row>
    <row r="1038" spans="1:258" ht="21.95" customHeight="1">
      <c r="A1038" s="52" t="s">
        <v>1860</v>
      </c>
      <c r="B1038" s="30" t="s">
        <v>773</v>
      </c>
      <c r="C1038" s="1">
        <f t="shared" si="274"/>
        <v>5696100</v>
      </c>
      <c r="D1038" s="21">
        <f t="shared" si="273"/>
        <v>0</v>
      </c>
      <c r="E1038" s="21">
        <v>0</v>
      </c>
      <c r="F1038" s="21">
        <v>0</v>
      </c>
      <c r="G1038" s="21">
        <v>0</v>
      </c>
      <c r="H1038" s="21">
        <v>0</v>
      </c>
      <c r="I1038" s="21">
        <v>0</v>
      </c>
      <c r="J1038" s="21">
        <v>0</v>
      </c>
      <c r="K1038" s="40">
        <v>0</v>
      </c>
      <c r="L1038" s="21">
        <v>0</v>
      </c>
      <c r="M1038" s="21">
        <v>1037</v>
      </c>
      <c r="N1038" s="21">
        <v>5496100</v>
      </c>
      <c r="O1038" s="21">
        <v>0</v>
      </c>
      <c r="P1038" s="21">
        <v>0</v>
      </c>
      <c r="Q1038" s="21">
        <v>0</v>
      </c>
      <c r="R1038" s="21">
        <v>0</v>
      </c>
      <c r="S1038" s="21">
        <v>0</v>
      </c>
      <c r="T1038" s="3">
        <v>0</v>
      </c>
      <c r="U1038" s="21">
        <v>200000</v>
      </c>
      <c r="V1038" s="9"/>
      <c r="W1038" s="9"/>
      <c r="X1038" s="9"/>
      <c r="Y1038" s="9"/>
      <c r="Z1038" s="9"/>
      <c r="AA1038" s="9"/>
      <c r="AB1038" s="9"/>
      <c r="AC1038" s="9"/>
      <c r="AD1038" s="9"/>
      <c r="AE1038" s="9"/>
      <c r="AF1038" s="9"/>
      <c r="AG1038" s="9"/>
      <c r="AH1038" s="9"/>
      <c r="AI1038" s="9"/>
      <c r="AJ1038" s="9"/>
      <c r="AK1038" s="9"/>
      <c r="AL1038" s="9"/>
      <c r="AM1038" s="9"/>
      <c r="AN1038" s="9"/>
      <c r="AO1038" s="9"/>
      <c r="AP1038" s="9"/>
      <c r="AQ1038" s="9"/>
      <c r="AR1038" s="9"/>
      <c r="AS1038" s="9"/>
      <c r="AT1038" s="9"/>
      <c r="AU1038" s="9"/>
      <c r="AV1038" s="9"/>
      <c r="AW1038" s="9"/>
      <c r="AX1038" s="9"/>
      <c r="AY1038" s="9"/>
      <c r="AZ1038" s="9"/>
      <c r="BA1038" s="9"/>
      <c r="BB1038" s="9"/>
      <c r="BC1038" s="9"/>
      <c r="BD1038" s="9"/>
      <c r="BE1038" s="9"/>
      <c r="BF1038" s="9"/>
      <c r="BG1038" s="9"/>
      <c r="BH1038" s="9"/>
      <c r="BI1038" s="9"/>
      <c r="BJ1038" s="9"/>
      <c r="BK1038" s="9"/>
      <c r="BL1038" s="9"/>
      <c r="BM1038" s="9"/>
      <c r="BN1038" s="9"/>
      <c r="BO1038" s="9"/>
      <c r="BP1038" s="9"/>
      <c r="BQ1038" s="9"/>
      <c r="BR1038" s="9"/>
      <c r="BS1038" s="9"/>
      <c r="BT1038" s="9"/>
      <c r="BU1038" s="9"/>
      <c r="BV1038" s="9"/>
      <c r="BW1038" s="9"/>
      <c r="BX1038" s="9"/>
      <c r="BY1038" s="9"/>
      <c r="BZ1038" s="9"/>
      <c r="CA1038" s="9"/>
      <c r="CB1038" s="9"/>
      <c r="CC1038" s="9"/>
      <c r="CD1038" s="9"/>
      <c r="CE1038" s="9"/>
      <c r="CF1038" s="9"/>
      <c r="CG1038" s="9"/>
      <c r="CH1038" s="9"/>
      <c r="CI1038" s="9"/>
      <c r="CJ1038" s="9"/>
      <c r="CK1038" s="9"/>
      <c r="CL1038" s="9"/>
      <c r="CM1038" s="9"/>
      <c r="CN1038" s="9"/>
      <c r="CO1038" s="9"/>
      <c r="CP1038" s="9"/>
      <c r="CQ1038" s="9"/>
      <c r="CR1038" s="9"/>
      <c r="CS1038" s="9"/>
      <c r="CT1038" s="9"/>
      <c r="CU1038" s="9"/>
      <c r="CV1038" s="9"/>
      <c r="CW1038" s="9"/>
      <c r="CX1038" s="9"/>
      <c r="CY1038" s="9"/>
      <c r="CZ1038" s="9"/>
      <c r="DA1038" s="9"/>
      <c r="DB1038" s="9"/>
      <c r="DC1038" s="9"/>
      <c r="DD1038" s="9"/>
      <c r="DE1038" s="9"/>
      <c r="DF1038" s="9"/>
      <c r="DG1038" s="9"/>
      <c r="DH1038" s="9"/>
      <c r="DI1038" s="9"/>
      <c r="DJ1038" s="9"/>
      <c r="DK1038" s="9"/>
      <c r="DL1038" s="9"/>
      <c r="DM1038" s="9"/>
      <c r="DN1038" s="9"/>
      <c r="DO1038" s="9"/>
      <c r="DP1038" s="9"/>
      <c r="DQ1038" s="9"/>
      <c r="DR1038" s="9"/>
      <c r="DS1038" s="9"/>
      <c r="DT1038" s="9"/>
      <c r="DU1038" s="9"/>
      <c r="DV1038" s="9"/>
      <c r="DW1038" s="9"/>
      <c r="DX1038" s="9"/>
      <c r="DY1038" s="9"/>
      <c r="DZ1038" s="9"/>
      <c r="EA1038" s="9"/>
      <c r="EB1038" s="9"/>
      <c r="EC1038" s="9"/>
      <c r="ED1038" s="9"/>
      <c r="EE1038" s="9"/>
      <c r="EF1038" s="9"/>
      <c r="EG1038" s="9"/>
      <c r="EH1038" s="9"/>
      <c r="EI1038" s="9"/>
      <c r="EJ1038" s="9"/>
      <c r="EK1038" s="9"/>
      <c r="EL1038" s="9"/>
      <c r="EM1038" s="9"/>
      <c r="EN1038" s="9"/>
      <c r="EO1038" s="9"/>
      <c r="EP1038" s="9"/>
      <c r="EQ1038" s="9"/>
      <c r="ER1038" s="9"/>
      <c r="ES1038" s="9"/>
      <c r="ET1038" s="9"/>
      <c r="EU1038" s="9"/>
      <c r="EV1038" s="9"/>
      <c r="EW1038" s="9"/>
      <c r="EX1038" s="9"/>
      <c r="EY1038" s="9"/>
      <c r="EZ1038" s="9"/>
      <c r="FA1038" s="9"/>
      <c r="FB1038" s="9"/>
      <c r="FC1038" s="9"/>
      <c r="FD1038" s="9"/>
      <c r="FE1038" s="9"/>
      <c r="FF1038" s="9"/>
      <c r="FG1038" s="9"/>
      <c r="FH1038" s="9"/>
      <c r="FI1038" s="9"/>
      <c r="FJ1038" s="9"/>
      <c r="FK1038" s="9"/>
      <c r="FL1038" s="9"/>
      <c r="FM1038" s="9"/>
      <c r="FN1038" s="9"/>
      <c r="FO1038" s="9"/>
      <c r="FP1038" s="9"/>
      <c r="FQ1038" s="9"/>
      <c r="FR1038" s="9"/>
      <c r="FS1038" s="9"/>
      <c r="FT1038" s="9"/>
      <c r="FU1038" s="9"/>
      <c r="FV1038" s="9"/>
      <c r="FW1038" s="9"/>
      <c r="FX1038" s="9"/>
      <c r="FY1038" s="9"/>
      <c r="FZ1038" s="9"/>
      <c r="GA1038" s="9"/>
      <c r="GB1038" s="9"/>
      <c r="GC1038" s="9"/>
      <c r="GD1038" s="9"/>
      <c r="GE1038" s="9"/>
      <c r="GF1038" s="9"/>
      <c r="GG1038" s="9"/>
      <c r="GH1038" s="9"/>
      <c r="GI1038" s="9"/>
      <c r="GJ1038" s="9"/>
      <c r="GK1038" s="9"/>
      <c r="GL1038" s="9"/>
      <c r="GM1038" s="9"/>
      <c r="GN1038" s="9"/>
      <c r="GO1038" s="9"/>
      <c r="GP1038" s="9"/>
      <c r="GQ1038" s="9"/>
      <c r="GR1038" s="9"/>
      <c r="GS1038" s="9"/>
      <c r="GT1038" s="9"/>
      <c r="GU1038" s="9"/>
      <c r="GV1038" s="9"/>
      <c r="GW1038" s="9"/>
      <c r="GX1038" s="9"/>
      <c r="GY1038" s="9"/>
      <c r="GZ1038" s="9"/>
      <c r="HA1038" s="9"/>
      <c r="HB1038" s="9"/>
      <c r="HC1038" s="9"/>
      <c r="HD1038" s="9"/>
      <c r="HE1038" s="9"/>
      <c r="HF1038" s="9"/>
      <c r="HG1038" s="9"/>
      <c r="HH1038" s="9"/>
      <c r="HI1038" s="9"/>
      <c r="HJ1038" s="9"/>
      <c r="HK1038" s="9"/>
      <c r="HL1038" s="9"/>
      <c r="HM1038" s="9"/>
      <c r="HN1038" s="9"/>
      <c r="HO1038" s="9"/>
      <c r="HP1038" s="9"/>
      <c r="HQ1038" s="9"/>
      <c r="HR1038" s="9"/>
      <c r="HS1038" s="9"/>
      <c r="HT1038" s="9"/>
      <c r="HU1038" s="9"/>
      <c r="HV1038" s="9"/>
      <c r="HW1038" s="9"/>
      <c r="HX1038" s="9"/>
      <c r="HY1038" s="9"/>
      <c r="HZ1038" s="9"/>
      <c r="IA1038" s="9"/>
      <c r="IB1038" s="9"/>
      <c r="IC1038" s="9"/>
      <c r="ID1038" s="9"/>
      <c r="IE1038" s="9"/>
      <c r="IF1038" s="9"/>
      <c r="IG1038" s="9"/>
      <c r="IH1038" s="9"/>
      <c r="II1038" s="9"/>
      <c r="IJ1038" s="9"/>
      <c r="IK1038" s="9"/>
      <c r="IL1038" s="9"/>
      <c r="IM1038" s="9"/>
      <c r="IN1038" s="9"/>
      <c r="IO1038" s="9"/>
      <c r="IP1038" s="9"/>
      <c r="IQ1038" s="9"/>
      <c r="IR1038" s="9"/>
      <c r="IS1038" s="9"/>
      <c r="IT1038" s="9"/>
      <c r="IU1038" s="9"/>
      <c r="IV1038" s="9"/>
      <c r="IW1038" s="9"/>
      <c r="IX1038" s="9"/>
    </row>
    <row r="1039" spans="1:258" ht="21.95" customHeight="1">
      <c r="A1039" s="52" t="s">
        <v>1861</v>
      </c>
      <c r="B1039" s="24" t="s">
        <v>774</v>
      </c>
      <c r="C1039" s="1">
        <f t="shared" si="274"/>
        <v>2825384</v>
      </c>
      <c r="D1039" s="21">
        <f t="shared" si="273"/>
        <v>2625384</v>
      </c>
      <c r="E1039" s="21">
        <f>350*1093.91</f>
        <v>382868.5</v>
      </c>
      <c r="F1039" s="21">
        <f>800*1093.91</f>
        <v>875128.00000000012</v>
      </c>
      <c r="G1039" s="21">
        <f>350*1093.91</f>
        <v>382868.5</v>
      </c>
      <c r="H1039" s="21">
        <f>500*1093.91</f>
        <v>546955</v>
      </c>
      <c r="I1039" s="21">
        <f>400*1093.91</f>
        <v>437564.00000000006</v>
      </c>
      <c r="J1039" s="21">
        <v>0</v>
      </c>
      <c r="K1039" s="40">
        <v>0</v>
      </c>
      <c r="L1039" s="21">
        <v>0</v>
      </c>
      <c r="M1039" s="3">
        <v>0</v>
      </c>
      <c r="N1039" s="3">
        <v>0</v>
      </c>
      <c r="O1039" s="21">
        <v>0</v>
      </c>
      <c r="P1039" s="21">
        <v>0</v>
      </c>
      <c r="Q1039" s="21">
        <v>0</v>
      </c>
      <c r="R1039" s="21">
        <v>0</v>
      </c>
      <c r="S1039" s="21">
        <v>0</v>
      </c>
      <c r="T1039" s="3">
        <v>0</v>
      </c>
      <c r="U1039" s="21">
        <v>200000</v>
      </c>
      <c r="V1039" s="12"/>
      <c r="W1039" s="12"/>
      <c r="X1039" s="12"/>
      <c r="Y1039" s="12"/>
      <c r="Z1039" s="12"/>
      <c r="AA1039" s="12"/>
      <c r="AB1039" s="12"/>
      <c r="AC1039" s="12"/>
      <c r="AD1039" s="12"/>
      <c r="AE1039" s="12"/>
      <c r="AF1039" s="12"/>
      <c r="AG1039" s="12"/>
      <c r="AH1039" s="12"/>
      <c r="AI1039" s="12"/>
      <c r="AJ1039" s="12"/>
      <c r="AK1039" s="12"/>
      <c r="AL1039" s="12"/>
      <c r="AM1039" s="12"/>
      <c r="AN1039" s="12"/>
      <c r="AO1039" s="12"/>
      <c r="AP1039" s="12"/>
      <c r="AQ1039" s="12"/>
      <c r="AR1039" s="12"/>
      <c r="AS1039" s="12"/>
      <c r="AT1039" s="12"/>
      <c r="AU1039" s="12"/>
      <c r="AV1039" s="12"/>
      <c r="AW1039" s="12"/>
      <c r="AX1039" s="12"/>
      <c r="AY1039" s="12"/>
      <c r="AZ1039" s="12"/>
      <c r="BA1039" s="12"/>
      <c r="BB1039" s="12"/>
      <c r="BC1039" s="12"/>
      <c r="BD1039" s="12"/>
      <c r="BE1039" s="12"/>
      <c r="BF1039" s="12"/>
      <c r="BG1039" s="12"/>
      <c r="BH1039" s="12"/>
      <c r="BI1039" s="12"/>
      <c r="BJ1039" s="12"/>
      <c r="BK1039" s="12"/>
      <c r="BL1039" s="12"/>
      <c r="BM1039" s="12"/>
      <c r="BN1039" s="12"/>
      <c r="BO1039" s="12"/>
      <c r="BP1039" s="12"/>
      <c r="BQ1039" s="12"/>
      <c r="BR1039" s="12"/>
      <c r="BS1039" s="12"/>
      <c r="BT1039" s="12"/>
      <c r="BU1039" s="12"/>
      <c r="BV1039" s="12"/>
      <c r="BW1039" s="12"/>
      <c r="BX1039" s="12"/>
      <c r="BY1039" s="12"/>
      <c r="BZ1039" s="12"/>
      <c r="CA1039" s="12"/>
      <c r="CB1039" s="12"/>
      <c r="CC1039" s="12"/>
      <c r="CD1039" s="12"/>
      <c r="CE1039" s="12"/>
      <c r="CF1039" s="12"/>
      <c r="CG1039" s="12"/>
      <c r="CH1039" s="12"/>
      <c r="CI1039" s="12"/>
      <c r="CJ1039" s="12"/>
      <c r="CK1039" s="12"/>
      <c r="CL1039" s="12"/>
      <c r="CM1039" s="12"/>
      <c r="CN1039" s="12"/>
      <c r="CO1039" s="12"/>
      <c r="CP1039" s="12"/>
      <c r="CQ1039" s="12"/>
      <c r="CR1039" s="12"/>
      <c r="CS1039" s="12"/>
      <c r="CT1039" s="12"/>
      <c r="CU1039" s="12"/>
      <c r="CV1039" s="12"/>
      <c r="CW1039" s="12"/>
      <c r="CX1039" s="12"/>
      <c r="CY1039" s="12"/>
      <c r="CZ1039" s="12"/>
      <c r="DA1039" s="12"/>
      <c r="DB1039" s="12"/>
      <c r="DC1039" s="12"/>
      <c r="DD1039" s="12"/>
      <c r="DE1039" s="12"/>
      <c r="DF1039" s="12"/>
      <c r="DG1039" s="12"/>
      <c r="DH1039" s="12"/>
      <c r="DI1039" s="12"/>
      <c r="DJ1039" s="12"/>
      <c r="DK1039" s="12"/>
      <c r="DL1039" s="12"/>
      <c r="DM1039" s="12"/>
      <c r="DN1039" s="12"/>
      <c r="DO1039" s="12"/>
      <c r="DP1039" s="12"/>
      <c r="DQ1039" s="12"/>
      <c r="DR1039" s="12"/>
      <c r="DS1039" s="12"/>
      <c r="DT1039" s="12"/>
      <c r="DU1039" s="12"/>
      <c r="DV1039" s="12"/>
      <c r="DW1039" s="12"/>
      <c r="DX1039" s="12"/>
      <c r="DY1039" s="12"/>
      <c r="DZ1039" s="12"/>
      <c r="EA1039" s="12"/>
      <c r="EB1039" s="12"/>
      <c r="EC1039" s="12"/>
      <c r="ED1039" s="12"/>
      <c r="EE1039" s="12"/>
      <c r="EF1039" s="12"/>
      <c r="EG1039" s="12"/>
      <c r="EH1039" s="12"/>
      <c r="EI1039" s="12"/>
      <c r="EJ1039" s="12"/>
      <c r="EK1039" s="12"/>
      <c r="EL1039" s="12"/>
      <c r="EM1039" s="12"/>
      <c r="EN1039" s="12"/>
      <c r="EO1039" s="12"/>
      <c r="EP1039" s="12"/>
      <c r="EQ1039" s="12"/>
      <c r="ER1039" s="12"/>
      <c r="ES1039" s="12"/>
      <c r="ET1039" s="12"/>
      <c r="EU1039" s="12"/>
      <c r="EV1039" s="12"/>
      <c r="EW1039" s="12"/>
      <c r="EX1039" s="12"/>
      <c r="EY1039" s="12"/>
      <c r="EZ1039" s="12"/>
      <c r="FA1039" s="12"/>
      <c r="FB1039" s="12"/>
      <c r="FC1039" s="12"/>
      <c r="FD1039" s="12"/>
      <c r="FE1039" s="12"/>
      <c r="FF1039" s="12"/>
      <c r="FG1039" s="12"/>
      <c r="FH1039" s="12"/>
      <c r="FI1039" s="12"/>
      <c r="FJ1039" s="12"/>
      <c r="FK1039" s="12"/>
      <c r="FL1039" s="12"/>
      <c r="FM1039" s="12"/>
      <c r="FN1039" s="12"/>
      <c r="FO1039" s="12"/>
      <c r="FP1039" s="12"/>
      <c r="FQ1039" s="12"/>
      <c r="FR1039" s="12"/>
      <c r="FS1039" s="12"/>
      <c r="FT1039" s="12"/>
      <c r="FU1039" s="12"/>
      <c r="FV1039" s="12"/>
      <c r="FW1039" s="12"/>
      <c r="FX1039" s="12"/>
      <c r="FY1039" s="12"/>
      <c r="FZ1039" s="12"/>
      <c r="GA1039" s="12"/>
      <c r="GB1039" s="12"/>
      <c r="GC1039" s="12"/>
      <c r="GD1039" s="12"/>
      <c r="GE1039" s="12"/>
      <c r="GF1039" s="12"/>
      <c r="GG1039" s="12"/>
      <c r="GH1039" s="12"/>
      <c r="GI1039" s="12"/>
      <c r="GJ1039" s="12"/>
      <c r="GK1039" s="12"/>
      <c r="GL1039" s="12"/>
      <c r="GM1039" s="12"/>
      <c r="GN1039" s="12"/>
      <c r="GO1039" s="12"/>
      <c r="GP1039" s="12"/>
      <c r="GQ1039" s="12"/>
      <c r="GR1039" s="12"/>
      <c r="GS1039" s="12"/>
      <c r="GT1039" s="12"/>
      <c r="GU1039" s="12"/>
      <c r="GV1039" s="12"/>
      <c r="GW1039" s="12"/>
      <c r="GX1039" s="12"/>
      <c r="GY1039" s="12"/>
      <c r="GZ1039" s="12"/>
      <c r="HA1039" s="12"/>
      <c r="HB1039" s="12"/>
      <c r="HC1039" s="12"/>
      <c r="HD1039" s="12"/>
      <c r="HE1039" s="12"/>
      <c r="HF1039" s="12"/>
      <c r="HG1039" s="12"/>
      <c r="HH1039" s="12"/>
      <c r="HI1039" s="12"/>
      <c r="HJ1039" s="12"/>
      <c r="HK1039" s="12"/>
      <c r="HL1039" s="12"/>
      <c r="HM1039" s="12"/>
      <c r="HN1039" s="12"/>
      <c r="HO1039" s="12"/>
      <c r="HP1039" s="12"/>
      <c r="HQ1039" s="12"/>
      <c r="HR1039" s="12"/>
      <c r="HS1039" s="12"/>
      <c r="HT1039" s="12"/>
      <c r="HU1039" s="12"/>
      <c r="HV1039" s="12"/>
      <c r="HW1039" s="12"/>
      <c r="HX1039" s="12"/>
      <c r="HY1039" s="12"/>
      <c r="HZ1039" s="12"/>
      <c r="IA1039" s="12"/>
      <c r="IB1039" s="12"/>
      <c r="IC1039" s="12"/>
      <c r="ID1039" s="12"/>
      <c r="IE1039" s="12"/>
      <c r="IF1039" s="12"/>
      <c r="IG1039" s="12"/>
      <c r="IH1039" s="12"/>
      <c r="II1039" s="12"/>
      <c r="IJ1039" s="12"/>
      <c r="IK1039" s="12"/>
      <c r="IL1039" s="12"/>
      <c r="IM1039" s="12"/>
      <c r="IN1039" s="12"/>
      <c r="IO1039" s="12"/>
      <c r="IP1039" s="12"/>
      <c r="IQ1039" s="12"/>
      <c r="IR1039" s="12"/>
      <c r="IS1039" s="12"/>
      <c r="IT1039" s="12"/>
      <c r="IU1039" s="12"/>
      <c r="IV1039" s="12"/>
      <c r="IW1039" s="12"/>
      <c r="IX1039" s="12"/>
    </row>
    <row r="1040" spans="1:258" ht="21.95" customHeight="1">
      <c r="A1040" s="52" t="s">
        <v>1862</v>
      </c>
      <c r="B1040" s="24" t="s">
        <v>775</v>
      </c>
      <c r="C1040" s="1">
        <f t="shared" si="274"/>
        <v>2838870</v>
      </c>
      <c r="D1040" s="21">
        <f t="shared" si="273"/>
        <v>0</v>
      </c>
      <c r="E1040" s="21">
        <v>0</v>
      </c>
      <c r="F1040" s="21">
        <v>0</v>
      </c>
      <c r="G1040" s="21">
        <v>0</v>
      </c>
      <c r="H1040" s="21">
        <v>0</v>
      </c>
      <c r="I1040" s="21">
        <v>0</v>
      </c>
      <c r="J1040" s="21">
        <v>0</v>
      </c>
      <c r="K1040" s="40">
        <v>0</v>
      </c>
      <c r="L1040" s="21">
        <v>0</v>
      </c>
      <c r="M1040" s="21">
        <v>497.9</v>
      </c>
      <c r="N1040" s="3">
        <v>2638870</v>
      </c>
      <c r="O1040" s="21">
        <v>0</v>
      </c>
      <c r="P1040" s="21">
        <v>0</v>
      </c>
      <c r="Q1040" s="21">
        <v>0</v>
      </c>
      <c r="R1040" s="21">
        <v>0</v>
      </c>
      <c r="S1040" s="21">
        <v>0</v>
      </c>
      <c r="T1040" s="3">
        <v>0</v>
      </c>
      <c r="U1040" s="21">
        <v>200000</v>
      </c>
      <c r="V1040" s="9"/>
      <c r="W1040" s="9"/>
      <c r="X1040" s="9"/>
      <c r="Y1040" s="9"/>
      <c r="Z1040" s="9"/>
      <c r="AA1040" s="9"/>
      <c r="AB1040" s="9"/>
      <c r="AC1040" s="9"/>
      <c r="AD1040" s="9"/>
      <c r="AE1040" s="9"/>
      <c r="AF1040" s="9"/>
      <c r="AG1040" s="9"/>
      <c r="AH1040" s="9"/>
      <c r="AI1040" s="9"/>
      <c r="AJ1040" s="9"/>
      <c r="AK1040" s="9"/>
      <c r="AL1040" s="9"/>
      <c r="AM1040" s="9"/>
      <c r="AN1040" s="9"/>
      <c r="AO1040" s="9"/>
      <c r="AP1040" s="9"/>
      <c r="AQ1040" s="9"/>
      <c r="AR1040" s="9"/>
      <c r="AS1040" s="9"/>
      <c r="AT1040" s="9"/>
      <c r="AU1040" s="9"/>
      <c r="AV1040" s="9"/>
      <c r="AW1040" s="9"/>
      <c r="AX1040" s="9"/>
      <c r="AY1040" s="9"/>
      <c r="AZ1040" s="9"/>
      <c r="BA1040" s="9"/>
      <c r="BB1040" s="9"/>
      <c r="BC1040" s="9"/>
      <c r="BD1040" s="9"/>
      <c r="BE1040" s="9"/>
      <c r="BF1040" s="9"/>
      <c r="BG1040" s="9"/>
      <c r="BH1040" s="9"/>
      <c r="BI1040" s="9"/>
      <c r="BJ1040" s="9"/>
      <c r="BK1040" s="9"/>
      <c r="BL1040" s="9"/>
      <c r="BM1040" s="9"/>
      <c r="BN1040" s="9"/>
      <c r="BO1040" s="9"/>
      <c r="BP1040" s="9"/>
      <c r="BQ1040" s="9"/>
      <c r="BR1040" s="9"/>
      <c r="BS1040" s="9"/>
      <c r="BT1040" s="9"/>
      <c r="BU1040" s="9"/>
      <c r="BV1040" s="9"/>
      <c r="BW1040" s="9"/>
      <c r="BX1040" s="9"/>
      <c r="BY1040" s="9"/>
      <c r="BZ1040" s="9"/>
      <c r="CA1040" s="9"/>
      <c r="CB1040" s="9"/>
      <c r="CC1040" s="9"/>
      <c r="CD1040" s="9"/>
      <c r="CE1040" s="9"/>
      <c r="CF1040" s="9"/>
      <c r="CG1040" s="9"/>
      <c r="CH1040" s="9"/>
      <c r="CI1040" s="9"/>
      <c r="CJ1040" s="9"/>
      <c r="CK1040" s="9"/>
      <c r="CL1040" s="9"/>
      <c r="CM1040" s="9"/>
      <c r="CN1040" s="9"/>
      <c r="CO1040" s="9"/>
      <c r="CP1040" s="9"/>
      <c r="CQ1040" s="9"/>
      <c r="CR1040" s="9"/>
      <c r="CS1040" s="9"/>
      <c r="CT1040" s="9"/>
      <c r="CU1040" s="9"/>
      <c r="CV1040" s="9"/>
      <c r="CW1040" s="9"/>
      <c r="CX1040" s="9"/>
      <c r="CY1040" s="9"/>
      <c r="CZ1040" s="9"/>
      <c r="DA1040" s="9"/>
      <c r="DB1040" s="9"/>
      <c r="DC1040" s="9"/>
      <c r="DD1040" s="9"/>
      <c r="DE1040" s="9"/>
      <c r="DF1040" s="9"/>
      <c r="DG1040" s="9"/>
      <c r="DH1040" s="9"/>
      <c r="DI1040" s="9"/>
      <c r="DJ1040" s="9"/>
      <c r="DK1040" s="9"/>
      <c r="DL1040" s="9"/>
      <c r="DM1040" s="9"/>
      <c r="DN1040" s="9"/>
      <c r="DO1040" s="9"/>
      <c r="DP1040" s="9"/>
      <c r="DQ1040" s="9"/>
      <c r="DR1040" s="9"/>
      <c r="DS1040" s="9"/>
      <c r="DT1040" s="9"/>
      <c r="DU1040" s="9"/>
      <c r="DV1040" s="9"/>
      <c r="DW1040" s="9"/>
      <c r="DX1040" s="9"/>
      <c r="DY1040" s="9"/>
      <c r="DZ1040" s="9"/>
      <c r="EA1040" s="9"/>
      <c r="EB1040" s="9"/>
      <c r="EC1040" s="9"/>
      <c r="ED1040" s="9"/>
      <c r="EE1040" s="9"/>
      <c r="EF1040" s="9"/>
      <c r="EG1040" s="9"/>
      <c r="EH1040" s="9"/>
      <c r="EI1040" s="9"/>
      <c r="EJ1040" s="9"/>
      <c r="EK1040" s="9"/>
      <c r="EL1040" s="9"/>
      <c r="EM1040" s="9"/>
      <c r="EN1040" s="9"/>
      <c r="EO1040" s="9"/>
      <c r="EP1040" s="9"/>
      <c r="EQ1040" s="9"/>
      <c r="ER1040" s="9"/>
      <c r="ES1040" s="9"/>
      <c r="ET1040" s="9"/>
      <c r="EU1040" s="9"/>
      <c r="EV1040" s="9"/>
      <c r="EW1040" s="9"/>
      <c r="EX1040" s="9"/>
      <c r="EY1040" s="9"/>
      <c r="EZ1040" s="9"/>
      <c r="FA1040" s="9"/>
      <c r="FB1040" s="9"/>
      <c r="FC1040" s="9"/>
      <c r="FD1040" s="9"/>
      <c r="FE1040" s="9"/>
      <c r="FF1040" s="9"/>
      <c r="FG1040" s="9"/>
      <c r="FH1040" s="9"/>
      <c r="FI1040" s="9"/>
      <c r="FJ1040" s="9"/>
      <c r="FK1040" s="9"/>
      <c r="FL1040" s="9"/>
      <c r="FM1040" s="9"/>
      <c r="FN1040" s="9"/>
      <c r="FO1040" s="9"/>
      <c r="FP1040" s="9"/>
      <c r="FQ1040" s="9"/>
      <c r="FR1040" s="9"/>
      <c r="FS1040" s="9"/>
      <c r="FT1040" s="9"/>
      <c r="FU1040" s="9"/>
      <c r="FV1040" s="9"/>
      <c r="FW1040" s="9"/>
      <c r="FX1040" s="9"/>
      <c r="FY1040" s="9"/>
      <c r="FZ1040" s="9"/>
      <c r="GA1040" s="9"/>
      <c r="GB1040" s="9"/>
      <c r="GC1040" s="9"/>
      <c r="GD1040" s="9"/>
      <c r="GE1040" s="9"/>
      <c r="GF1040" s="9"/>
      <c r="GG1040" s="9"/>
      <c r="GH1040" s="9"/>
      <c r="GI1040" s="9"/>
      <c r="GJ1040" s="9"/>
      <c r="GK1040" s="9"/>
      <c r="GL1040" s="9"/>
      <c r="GM1040" s="9"/>
      <c r="GN1040" s="9"/>
      <c r="GO1040" s="9"/>
      <c r="GP1040" s="9"/>
      <c r="GQ1040" s="9"/>
      <c r="GR1040" s="9"/>
      <c r="GS1040" s="9"/>
      <c r="GT1040" s="9"/>
      <c r="GU1040" s="9"/>
      <c r="GV1040" s="9"/>
      <c r="GW1040" s="9"/>
      <c r="GX1040" s="9"/>
      <c r="GY1040" s="9"/>
      <c r="GZ1040" s="9"/>
      <c r="HA1040" s="9"/>
      <c r="HB1040" s="9"/>
      <c r="HC1040" s="9"/>
      <c r="HD1040" s="9"/>
      <c r="HE1040" s="9"/>
      <c r="HF1040" s="9"/>
      <c r="HG1040" s="9"/>
      <c r="HH1040" s="9"/>
      <c r="HI1040" s="9"/>
      <c r="HJ1040" s="9"/>
      <c r="HK1040" s="9"/>
      <c r="HL1040" s="9"/>
      <c r="HM1040" s="9"/>
      <c r="HN1040" s="9"/>
      <c r="HO1040" s="9"/>
      <c r="HP1040" s="9"/>
      <c r="HQ1040" s="9"/>
      <c r="HR1040" s="9"/>
      <c r="HS1040" s="9"/>
      <c r="HT1040" s="9"/>
      <c r="HU1040" s="9"/>
      <c r="HV1040" s="9"/>
      <c r="HW1040" s="9"/>
      <c r="HX1040" s="9"/>
      <c r="HY1040" s="9"/>
      <c r="HZ1040" s="9"/>
      <c r="IA1040" s="9"/>
      <c r="IB1040" s="9"/>
      <c r="IC1040" s="9"/>
      <c r="ID1040" s="9"/>
      <c r="IE1040" s="9"/>
      <c r="IF1040" s="9"/>
      <c r="IG1040" s="9"/>
      <c r="IH1040" s="9"/>
      <c r="II1040" s="9"/>
      <c r="IJ1040" s="9"/>
      <c r="IK1040" s="9"/>
      <c r="IL1040" s="9"/>
      <c r="IM1040" s="9"/>
      <c r="IN1040" s="9"/>
      <c r="IO1040" s="9"/>
      <c r="IP1040" s="9"/>
      <c r="IQ1040" s="9"/>
      <c r="IR1040" s="9"/>
      <c r="IS1040" s="9"/>
      <c r="IT1040" s="9"/>
      <c r="IU1040" s="9"/>
      <c r="IV1040" s="9"/>
      <c r="IW1040" s="9"/>
      <c r="IX1040" s="9"/>
    </row>
    <row r="1041" spans="1:258" ht="21.95" customHeight="1">
      <c r="A1041" s="52" t="s">
        <v>1863</v>
      </c>
      <c r="B1041" s="24" t="s">
        <v>776</v>
      </c>
      <c r="C1041" s="1">
        <f t="shared" si="274"/>
        <v>1620400</v>
      </c>
      <c r="D1041" s="21">
        <f t="shared" si="273"/>
        <v>0</v>
      </c>
      <c r="E1041" s="21">
        <v>0</v>
      </c>
      <c r="F1041" s="21">
        <v>0</v>
      </c>
      <c r="G1041" s="21">
        <v>0</v>
      </c>
      <c r="H1041" s="21">
        <v>0</v>
      </c>
      <c r="I1041" s="21">
        <v>0</v>
      </c>
      <c r="J1041" s="21">
        <v>0</v>
      </c>
      <c r="K1041" s="40">
        <v>0</v>
      </c>
      <c r="L1041" s="21">
        <v>0</v>
      </c>
      <c r="M1041" s="21">
        <v>268</v>
      </c>
      <c r="N1041" s="3">
        <v>1420400</v>
      </c>
      <c r="O1041" s="21">
        <v>0</v>
      </c>
      <c r="P1041" s="21">
        <v>0</v>
      </c>
      <c r="Q1041" s="21">
        <v>0</v>
      </c>
      <c r="R1041" s="21">
        <v>0</v>
      </c>
      <c r="S1041" s="21">
        <v>0</v>
      </c>
      <c r="T1041" s="3">
        <v>0</v>
      </c>
      <c r="U1041" s="21">
        <v>200000</v>
      </c>
      <c r="V1041" s="9"/>
      <c r="W1041" s="9"/>
      <c r="X1041" s="9"/>
      <c r="Y1041" s="9"/>
      <c r="Z1041" s="9"/>
      <c r="AA1041" s="9"/>
      <c r="AB1041" s="9"/>
      <c r="AC1041" s="9"/>
      <c r="AD1041" s="9"/>
      <c r="AE1041" s="9"/>
      <c r="AF1041" s="9"/>
      <c r="AG1041" s="9"/>
      <c r="AH1041" s="9"/>
      <c r="AI1041" s="9"/>
      <c r="AJ1041" s="9"/>
      <c r="AK1041" s="9"/>
      <c r="AL1041" s="9"/>
      <c r="AM1041" s="9"/>
      <c r="AN1041" s="9"/>
      <c r="AO1041" s="9"/>
      <c r="AP1041" s="9"/>
      <c r="AQ1041" s="9"/>
      <c r="AR1041" s="9"/>
      <c r="AS1041" s="9"/>
      <c r="AT1041" s="9"/>
      <c r="AU1041" s="9"/>
      <c r="AV1041" s="9"/>
      <c r="AW1041" s="9"/>
      <c r="AX1041" s="9"/>
      <c r="AY1041" s="9"/>
      <c r="AZ1041" s="9"/>
      <c r="BA1041" s="9"/>
      <c r="BB1041" s="9"/>
      <c r="BC1041" s="9"/>
      <c r="BD1041" s="9"/>
      <c r="BE1041" s="9"/>
      <c r="BF1041" s="9"/>
      <c r="BG1041" s="9"/>
      <c r="BH1041" s="9"/>
      <c r="BI1041" s="9"/>
      <c r="BJ1041" s="9"/>
      <c r="BK1041" s="9"/>
      <c r="BL1041" s="9"/>
      <c r="BM1041" s="9"/>
      <c r="BN1041" s="9"/>
      <c r="BO1041" s="9"/>
      <c r="BP1041" s="9"/>
      <c r="BQ1041" s="9"/>
      <c r="BR1041" s="9"/>
      <c r="BS1041" s="9"/>
      <c r="BT1041" s="9"/>
      <c r="BU1041" s="9"/>
      <c r="BV1041" s="9"/>
      <c r="BW1041" s="9"/>
      <c r="BX1041" s="9"/>
      <c r="BY1041" s="9"/>
      <c r="BZ1041" s="9"/>
      <c r="CA1041" s="9"/>
      <c r="CB1041" s="9"/>
      <c r="CC1041" s="9"/>
      <c r="CD1041" s="9"/>
      <c r="CE1041" s="9"/>
      <c r="CF1041" s="9"/>
      <c r="CG1041" s="9"/>
      <c r="CH1041" s="9"/>
      <c r="CI1041" s="9"/>
      <c r="CJ1041" s="9"/>
      <c r="CK1041" s="9"/>
      <c r="CL1041" s="9"/>
      <c r="CM1041" s="9"/>
      <c r="CN1041" s="9"/>
      <c r="CO1041" s="9"/>
      <c r="CP1041" s="9"/>
      <c r="CQ1041" s="9"/>
      <c r="CR1041" s="9"/>
      <c r="CS1041" s="9"/>
      <c r="CT1041" s="9"/>
      <c r="CU1041" s="9"/>
      <c r="CV1041" s="9"/>
      <c r="CW1041" s="9"/>
      <c r="CX1041" s="9"/>
      <c r="CY1041" s="9"/>
      <c r="CZ1041" s="9"/>
      <c r="DA1041" s="9"/>
      <c r="DB1041" s="9"/>
      <c r="DC1041" s="9"/>
      <c r="DD1041" s="9"/>
      <c r="DE1041" s="9"/>
      <c r="DF1041" s="9"/>
      <c r="DG1041" s="9"/>
      <c r="DH1041" s="9"/>
      <c r="DI1041" s="9"/>
      <c r="DJ1041" s="9"/>
      <c r="DK1041" s="9"/>
      <c r="DL1041" s="9"/>
      <c r="DM1041" s="9"/>
      <c r="DN1041" s="9"/>
      <c r="DO1041" s="9"/>
      <c r="DP1041" s="9"/>
      <c r="DQ1041" s="9"/>
      <c r="DR1041" s="9"/>
      <c r="DS1041" s="9"/>
      <c r="DT1041" s="9"/>
      <c r="DU1041" s="9"/>
      <c r="DV1041" s="9"/>
      <c r="DW1041" s="9"/>
      <c r="DX1041" s="9"/>
      <c r="DY1041" s="9"/>
      <c r="DZ1041" s="9"/>
      <c r="EA1041" s="9"/>
      <c r="EB1041" s="9"/>
      <c r="EC1041" s="9"/>
      <c r="ED1041" s="9"/>
      <c r="EE1041" s="9"/>
      <c r="EF1041" s="9"/>
      <c r="EG1041" s="9"/>
      <c r="EH1041" s="9"/>
      <c r="EI1041" s="9"/>
      <c r="EJ1041" s="9"/>
      <c r="EK1041" s="9"/>
      <c r="EL1041" s="9"/>
      <c r="EM1041" s="9"/>
      <c r="EN1041" s="9"/>
      <c r="EO1041" s="9"/>
      <c r="EP1041" s="9"/>
      <c r="EQ1041" s="9"/>
      <c r="ER1041" s="9"/>
      <c r="ES1041" s="9"/>
      <c r="ET1041" s="9"/>
      <c r="EU1041" s="9"/>
      <c r="EV1041" s="9"/>
      <c r="EW1041" s="9"/>
      <c r="EX1041" s="9"/>
      <c r="EY1041" s="9"/>
      <c r="EZ1041" s="9"/>
      <c r="FA1041" s="9"/>
      <c r="FB1041" s="9"/>
      <c r="FC1041" s="9"/>
      <c r="FD1041" s="9"/>
      <c r="FE1041" s="9"/>
      <c r="FF1041" s="9"/>
      <c r="FG1041" s="9"/>
      <c r="FH1041" s="9"/>
      <c r="FI1041" s="9"/>
      <c r="FJ1041" s="9"/>
      <c r="FK1041" s="9"/>
      <c r="FL1041" s="9"/>
      <c r="FM1041" s="9"/>
      <c r="FN1041" s="9"/>
      <c r="FO1041" s="9"/>
      <c r="FP1041" s="9"/>
      <c r="FQ1041" s="9"/>
      <c r="FR1041" s="9"/>
      <c r="FS1041" s="9"/>
      <c r="FT1041" s="9"/>
      <c r="FU1041" s="9"/>
      <c r="FV1041" s="9"/>
      <c r="FW1041" s="9"/>
      <c r="FX1041" s="9"/>
      <c r="FY1041" s="9"/>
      <c r="FZ1041" s="9"/>
      <c r="GA1041" s="9"/>
      <c r="GB1041" s="9"/>
      <c r="GC1041" s="9"/>
      <c r="GD1041" s="9"/>
      <c r="GE1041" s="9"/>
      <c r="GF1041" s="9"/>
      <c r="GG1041" s="9"/>
      <c r="GH1041" s="9"/>
      <c r="GI1041" s="9"/>
      <c r="GJ1041" s="9"/>
      <c r="GK1041" s="9"/>
      <c r="GL1041" s="9"/>
      <c r="GM1041" s="9"/>
      <c r="GN1041" s="9"/>
      <c r="GO1041" s="9"/>
      <c r="GP1041" s="9"/>
      <c r="GQ1041" s="9"/>
      <c r="GR1041" s="9"/>
      <c r="GS1041" s="9"/>
      <c r="GT1041" s="9"/>
      <c r="GU1041" s="9"/>
      <c r="GV1041" s="9"/>
      <c r="GW1041" s="9"/>
      <c r="GX1041" s="9"/>
      <c r="GY1041" s="9"/>
      <c r="GZ1041" s="9"/>
      <c r="HA1041" s="9"/>
      <c r="HB1041" s="9"/>
      <c r="HC1041" s="9"/>
      <c r="HD1041" s="9"/>
      <c r="HE1041" s="9"/>
      <c r="HF1041" s="9"/>
      <c r="HG1041" s="9"/>
      <c r="HH1041" s="9"/>
      <c r="HI1041" s="9"/>
      <c r="HJ1041" s="9"/>
      <c r="HK1041" s="9"/>
      <c r="HL1041" s="9"/>
      <c r="HM1041" s="9"/>
      <c r="HN1041" s="9"/>
      <c r="HO1041" s="9"/>
      <c r="HP1041" s="9"/>
      <c r="HQ1041" s="9"/>
      <c r="HR1041" s="9"/>
      <c r="HS1041" s="9"/>
      <c r="HT1041" s="9"/>
      <c r="HU1041" s="9"/>
      <c r="HV1041" s="9"/>
      <c r="HW1041" s="9"/>
      <c r="HX1041" s="9"/>
      <c r="HY1041" s="9"/>
      <c r="HZ1041" s="9"/>
      <c r="IA1041" s="9"/>
      <c r="IB1041" s="9"/>
      <c r="IC1041" s="9"/>
      <c r="ID1041" s="9"/>
      <c r="IE1041" s="9"/>
      <c r="IF1041" s="9"/>
      <c r="IG1041" s="9"/>
      <c r="IH1041" s="9"/>
      <c r="II1041" s="9"/>
      <c r="IJ1041" s="9"/>
      <c r="IK1041" s="9"/>
      <c r="IL1041" s="9"/>
      <c r="IM1041" s="9"/>
      <c r="IN1041" s="9"/>
      <c r="IO1041" s="9"/>
      <c r="IP1041" s="9"/>
      <c r="IQ1041" s="9"/>
      <c r="IR1041" s="9"/>
      <c r="IS1041" s="9"/>
      <c r="IT1041" s="9"/>
      <c r="IU1041" s="9"/>
      <c r="IV1041" s="9"/>
      <c r="IW1041" s="9"/>
      <c r="IX1041" s="9"/>
    </row>
    <row r="1042" spans="1:258" ht="21.95" customHeight="1">
      <c r="A1042" s="52" t="s">
        <v>1864</v>
      </c>
      <c r="B1042" s="24" t="s">
        <v>777</v>
      </c>
      <c r="C1042" s="1">
        <f t="shared" si="274"/>
        <v>1699900</v>
      </c>
      <c r="D1042" s="21">
        <f t="shared" si="273"/>
        <v>0</v>
      </c>
      <c r="E1042" s="21">
        <v>0</v>
      </c>
      <c r="F1042" s="21">
        <v>0</v>
      </c>
      <c r="G1042" s="21">
        <v>0</v>
      </c>
      <c r="H1042" s="21">
        <v>0</v>
      </c>
      <c r="I1042" s="21">
        <v>0</v>
      </c>
      <c r="J1042" s="21">
        <v>0</v>
      </c>
      <c r="K1042" s="40">
        <v>0</v>
      </c>
      <c r="L1042" s="21">
        <v>0</v>
      </c>
      <c r="M1042" s="3">
        <v>283</v>
      </c>
      <c r="N1042" s="3">
        <v>1499900</v>
      </c>
      <c r="O1042" s="21">
        <v>0</v>
      </c>
      <c r="P1042" s="21">
        <v>0</v>
      </c>
      <c r="Q1042" s="21">
        <v>0</v>
      </c>
      <c r="R1042" s="21">
        <v>0</v>
      </c>
      <c r="S1042" s="21">
        <v>0</v>
      </c>
      <c r="T1042" s="3">
        <v>0</v>
      </c>
      <c r="U1042" s="21">
        <v>200000</v>
      </c>
    </row>
    <row r="1043" spans="1:258" ht="21.95" customHeight="1">
      <c r="A1043" s="52" t="s">
        <v>1865</v>
      </c>
      <c r="B1043" s="24" t="s">
        <v>778</v>
      </c>
      <c r="C1043" s="1">
        <f t="shared" si="274"/>
        <v>1599200</v>
      </c>
      <c r="D1043" s="21">
        <f t="shared" si="273"/>
        <v>0</v>
      </c>
      <c r="E1043" s="21">
        <v>0</v>
      </c>
      <c r="F1043" s="21">
        <v>0</v>
      </c>
      <c r="G1043" s="21">
        <v>0</v>
      </c>
      <c r="H1043" s="21">
        <v>0</v>
      </c>
      <c r="I1043" s="21">
        <v>0</v>
      </c>
      <c r="J1043" s="21">
        <v>0</v>
      </c>
      <c r="K1043" s="40">
        <v>0</v>
      </c>
      <c r="L1043" s="21">
        <v>0</v>
      </c>
      <c r="M1043" s="3">
        <v>264</v>
      </c>
      <c r="N1043" s="3">
        <v>1399200</v>
      </c>
      <c r="O1043" s="21">
        <v>0</v>
      </c>
      <c r="P1043" s="21">
        <v>0</v>
      </c>
      <c r="Q1043" s="21">
        <v>0</v>
      </c>
      <c r="R1043" s="21">
        <v>0</v>
      </c>
      <c r="S1043" s="21">
        <v>0</v>
      </c>
      <c r="T1043" s="3">
        <v>0</v>
      </c>
      <c r="U1043" s="21">
        <v>200000</v>
      </c>
    </row>
    <row r="1044" spans="1:258" ht="21.95" customHeight="1">
      <c r="A1044" s="52" t="s">
        <v>1866</v>
      </c>
      <c r="B1044" s="24" t="s">
        <v>779</v>
      </c>
      <c r="C1044" s="1">
        <f t="shared" si="274"/>
        <v>1215950</v>
      </c>
      <c r="D1044" s="21">
        <f t="shared" si="273"/>
        <v>0</v>
      </c>
      <c r="E1044" s="21">
        <v>0</v>
      </c>
      <c r="F1044" s="21">
        <v>0</v>
      </c>
      <c r="G1044" s="21">
        <v>0</v>
      </c>
      <c r="H1044" s="21">
        <v>0</v>
      </c>
      <c r="I1044" s="21">
        <v>0</v>
      </c>
      <c r="J1044" s="21">
        <v>0</v>
      </c>
      <c r="K1044" s="5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0</v>
      </c>
      <c r="Q1044" s="3">
        <v>390</v>
      </c>
      <c r="R1044" s="3">
        <v>1015950</v>
      </c>
      <c r="S1044" s="3">
        <v>0</v>
      </c>
      <c r="T1044" s="3">
        <v>0</v>
      </c>
      <c r="U1044" s="3">
        <v>200000</v>
      </c>
    </row>
    <row r="1045" spans="1:258" ht="21.95" customHeight="1">
      <c r="A1045" s="52" t="s">
        <v>1867</v>
      </c>
      <c r="B1045" s="24" t="s">
        <v>780</v>
      </c>
      <c r="C1045" s="1">
        <f t="shared" si="274"/>
        <v>1137800</v>
      </c>
      <c r="D1045" s="21">
        <f t="shared" si="273"/>
        <v>0</v>
      </c>
      <c r="E1045" s="21">
        <v>0</v>
      </c>
      <c r="F1045" s="21">
        <v>0</v>
      </c>
      <c r="G1045" s="21">
        <v>0</v>
      </c>
      <c r="H1045" s="21">
        <v>0</v>
      </c>
      <c r="I1045" s="21">
        <v>0</v>
      </c>
      <c r="J1045" s="21">
        <v>0</v>
      </c>
      <c r="K1045" s="40">
        <v>0</v>
      </c>
      <c r="L1045" s="21">
        <v>0</v>
      </c>
      <c r="M1045" s="3">
        <v>0</v>
      </c>
      <c r="N1045" s="3">
        <v>0</v>
      </c>
      <c r="O1045" s="21">
        <v>0</v>
      </c>
      <c r="P1045" s="21">
        <v>0</v>
      </c>
      <c r="Q1045" s="21">
        <v>360</v>
      </c>
      <c r="R1045" s="21">
        <v>937800</v>
      </c>
      <c r="S1045" s="21">
        <v>0</v>
      </c>
      <c r="T1045" s="3">
        <v>0</v>
      </c>
      <c r="U1045" s="21">
        <v>200000</v>
      </c>
      <c r="V1045" s="8"/>
      <c r="W1045" s="8"/>
      <c r="X1045" s="8"/>
      <c r="Y1045" s="8"/>
      <c r="Z1045" s="8"/>
      <c r="AA1045" s="8"/>
      <c r="AB1045" s="8"/>
      <c r="AC1045" s="8"/>
      <c r="AD1045" s="8"/>
      <c r="AE1045" s="8"/>
      <c r="AF1045" s="8"/>
      <c r="AG1045" s="8"/>
      <c r="AH1045" s="8"/>
      <c r="AI1045" s="8"/>
      <c r="AJ1045" s="8"/>
      <c r="AK1045" s="8"/>
      <c r="AL1045" s="8"/>
      <c r="AM1045" s="8"/>
      <c r="AN1045" s="8"/>
      <c r="AO1045" s="8"/>
      <c r="AP1045" s="8"/>
      <c r="AQ1045" s="8"/>
      <c r="AR1045" s="8"/>
      <c r="AS1045" s="8"/>
      <c r="AT1045" s="8"/>
      <c r="AU1045" s="8"/>
      <c r="AV1045" s="8"/>
      <c r="AW1045" s="8"/>
      <c r="AX1045" s="8"/>
      <c r="AY1045" s="8"/>
      <c r="AZ1045" s="8"/>
      <c r="BA1045" s="8"/>
      <c r="BB1045" s="8"/>
      <c r="BC1045" s="8"/>
      <c r="BD1045" s="8"/>
      <c r="BE1045" s="8"/>
      <c r="BF1045" s="8"/>
      <c r="BG1045" s="8"/>
      <c r="BH1045" s="8"/>
      <c r="BI1045" s="8"/>
      <c r="BJ1045" s="8"/>
      <c r="BK1045" s="8"/>
      <c r="BL1045" s="8"/>
      <c r="BM1045" s="8"/>
      <c r="BN1045" s="8"/>
      <c r="BO1045" s="8"/>
      <c r="BP1045" s="8"/>
      <c r="BQ1045" s="8"/>
      <c r="BR1045" s="8"/>
      <c r="BS1045" s="8"/>
      <c r="BT1045" s="8"/>
      <c r="BU1045" s="8"/>
      <c r="BV1045" s="8"/>
      <c r="BW1045" s="8"/>
      <c r="BX1045" s="8"/>
      <c r="BY1045" s="8"/>
      <c r="BZ1045" s="8"/>
      <c r="CA1045" s="8"/>
      <c r="CB1045" s="8"/>
      <c r="CC1045" s="8"/>
      <c r="CD1045" s="8"/>
      <c r="CE1045" s="8"/>
      <c r="CF1045" s="8"/>
      <c r="CG1045" s="8"/>
      <c r="CH1045" s="8"/>
      <c r="CI1045" s="8"/>
      <c r="CJ1045" s="8"/>
      <c r="CK1045" s="8"/>
      <c r="CL1045" s="8"/>
      <c r="CM1045" s="8"/>
      <c r="CN1045" s="8"/>
      <c r="CO1045" s="8"/>
      <c r="CP1045" s="8"/>
      <c r="CQ1045" s="8"/>
      <c r="CR1045" s="8"/>
      <c r="CS1045" s="8"/>
      <c r="CT1045" s="8"/>
      <c r="CU1045" s="8"/>
      <c r="CV1045" s="8"/>
      <c r="CW1045" s="8"/>
      <c r="CX1045" s="8"/>
      <c r="CY1045" s="8"/>
      <c r="CZ1045" s="8"/>
      <c r="DA1045" s="8"/>
      <c r="DB1045" s="8"/>
      <c r="DC1045" s="8"/>
      <c r="DD1045" s="8"/>
      <c r="DE1045" s="8"/>
      <c r="DF1045" s="8"/>
      <c r="DG1045" s="8"/>
      <c r="DH1045" s="8"/>
      <c r="DI1045" s="8"/>
      <c r="DJ1045" s="8"/>
      <c r="DK1045" s="8"/>
      <c r="DL1045" s="8"/>
      <c r="DM1045" s="8"/>
      <c r="DN1045" s="8"/>
      <c r="DO1045" s="8"/>
      <c r="DP1045" s="8"/>
      <c r="DQ1045" s="8"/>
      <c r="DR1045" s="8"/>
      <c r="DS1045" s="8"/>
      <c r="DT1045" s="8"/>
      <c r="DU1045" s="8"/>
      <c r="DV1045" s="8"/>
      <c r="DW1045" s="8"/>
      <c r="DX1045" s="8"/>
      <c r="DY1045" s="8"/>
      <c r="DZ1045" s="8"/>
      <c r="EA1045" s="8"/>
      <c r="EB1045" s="8"/>
      <c r="EC1045" s="8"/>
      <c r="ED1045" s="8"/>
      <c r="EE1045" s="8"/>
      <c r="EF1045" s="8"/>
      <c r="EG1045" s="8"/>
      <c r="EH1045" s="8"/>
      <c r="EI1045" s="8"/>
      <c r="EJ1045" s="8"/>
      <c r="EK1045" s="8"/>
      <c r="EL1045" s="8"/>
      <c r="EM1045" s="8"/>
      <c r="EN1045" s="8"/>
      <c r="EO1045" s="8"/>
      <c r="EP1045" s="8"/>
      <c r="EQ1045" s="8"/>
      <c r="ER1045" s="8"/>
      <c r="ES1045" s="8"/>
      <c r="ET1045" s="8"/>
      <c r="EU1045" s="8"/>
      <c r="EV1045" s="8"/>
      <c r="EW1045" s="8"/>
      <c r="EX1045" s="8"/>
      <c r="EY1045" s="8"/>
      <c r="EZ1045" s="8"/>
      <c r="FA1045" s="8"/>
      <c r="FB1045" s="8"/>
      <c r="FC1045" s="8"/>
      <c r="FD1045" s="8"/>
      <c r="FE1045" s="8"/>
      <c r="FF1045" s="8"/>
      <c r="FG1045" s="8"/>
      <c r="FH1045" s="8"/>
      <c r="FI1045" s="8"/>
      <c r="FJ1045" s="8"/>
      <c r="FK1045" s="8"/>
      <c r="FL1045" s="8"/>
      <c r="FM1045" s="8"/>
      <c r="FN1045" s="8"/>
      <c r="FO1045" s="8"/>
      <c r="FP1045" s="8"/>
      <c r="FQ1045" s="8"/>
      <c r="FR1045" s="8"/>
      <c r="FS1045" s="8"/>
      <c r="FT1045" s="8"/>
      <c r="FU1045" s="8"/>
      <c r="FV1045" s="8"/>
      <c r="FW1045" s="8"/>
      <c r="FX1045" s="8"/>
      <c r="FY1045" s="8"/>
      <c r="FZ1045" s="8"/>
      <c r="GA1045" s="8"/>
      <c r="GB1045" s="8"/>
      <c r="GC1045" s="8"/>
      <c r="GD1045" s="8"/>
      <c r="GE1045" s="8"/>
      <c r="GF1045" s="8"/>
      <c r="GG1045" s="8"/>
      <c r="GH1045" s="8"/>
      <c r="GI1045" s="8"/>
      <c r="GJ1045" s="8"/>
      <c r="GK1045" s="8"/>
      <c r="GL1045" s="8"/>
      <c r="GM1045" s="8"/>
      <c r="GN1045" s="8"/>
      <c r="GO1045" s="8"/>
      <c r="GP1045" s="8"/>
      <c r="GQ1045" s="8"/>
      <c r="GR1045" s="8"/>
      <c r="GS1045" s="8"/>
      <c r="GT1045" s="8"/>
      <c r="GU1045" s="8"/>
      <c r="GV1045" s="8"/>
      <c r="GW1045" s="8"/>
      <c r="GX1045" s="8"/>
      <c r="GY1045" s="8"/>
      <c r="GZ1045" s="8"/>
      <c r="HA1045" s="8"/>
      <c r="HB1045" s="8"/>
      <c r="HC1045" s="8"/>
      <c r="HD1045" s="8"/>
      <c r="HE1045" s="8"/>
      <c r="HF1045" s="8"/>
      <c r="HG1045" s="8"/>
      <c r="HH1045" s="8"/>
      <c r="HI1045" s="8"/>
      <c r="HJ1045" s="8"/>
      <c r="HK1045" s="8"/>
      <c r="HL1045" s="8"/>
      <c r="HM1045" s="8"/>
      <c r="HN1045" s="8"/>
      <c r="HO1045" s="8"/>
      <c r="HP1045" s="8"/>
      <c r="HQ1045" s="8"/>
      <c r="HR1045" s="8"/>
      <c r="HS1045" s="8"/>
      <c r="HT1045" s="8"/>
      <c r="HU1045" s="8"/>
      <c r="HV1045" s="8"/>
      <c r="HW1045" s="8"/>
      <c r="HX1045" s="8"/>
      <c r="HY1045" s="8"/>
      <c r="HZ1045" s="8"/>
      <c r="IA1045" s="8"/>
      <c r="IB1045" s="8"/>
      <c r="IC1045" s="8"/>
      <c r="ID1045" s="8"/>
      <c r="IE1045" s="8"/>
      <c r="IF1045" s="8"/>
      <c r="IG1045" s="8"/>
      <c r="IH1045" s="8"/>
      <c r="II1045" s="8"/>
      <c r="IJ1045" s="8"/>
      <c r="IK1045" s="8"/>
      <c r="IL1045" s="8"/>
      <c r="IM1045" s="8"/>
      <c r="IN1045" s="8"/>
      <c r="IO1045" s="8"/>
      <c r="IP1045" s="8"/>
      <c r="IQ1045" s="8"/>
      <c r="IR1045" s="8"/>
      <c r="IS1045" s="8"/>
      <c r="IT1045" s="8"/>
      <c r="IU1045" s="8"/>
      <c r="IV1045" s="8"/>
      <c r="IW1045" s="8"/>
      <c r="IX1045" s="8"/>
    </row>
    <row r="1046" spans="1:258" ht="21.95" customHeight="1">
      <c r="A1046" s="52" t="s">
        <v>1868</v>
      </c>
      <c r="B1046" s="24" t="s">
        <v>781</v>
      </c>
      <c r="C1046" s="1">
        <f t="shared" si="274"/>
        <v>2119130</v>
      </c>
      <c r="D1046" s="21">
        <f t="shared" si="273"/>
        <v>0</v>
      </c>
      <c r="E1046" s="21">
        <v>0</v>
      </c>
      <c r="F1046" s="21">
        <v>0</v>
      </c>
      <c r="G1046" s="21">
        <v>0</v>
      </c>
      <c r="H1046" s="21">
        <v>0</v>
      </c>
      <c r="I1046" s="21">
        <v>0</v>
      </c>
      <c r="J1046" s="21">
        <v>0</v>
      </c>
      <c r="K1046" s="40">
        <v>0</v>
      </c>
      <c r="L1046" s="21">
        <v>0</v>
      </c>
      <c r="M1046" s="3">
        <v>362.1</v>
      </c>
      <c r="N1046" s="3">
        <v>1919130</v>
      </c>
      <c r="O1046" s="21">
        <v>0</v>
      </c>
      <c r="P1046" s="21">
        <v>0</v>
      </c>
      <c r="Q1046" s="21">
        <v>0</v>
      </c>
      <c r="R1046" s="21">
        <v>0</v>
      </c>
      <c r="S1046" s="21">
        <v>0</v>
      </c>
      <c r="T1046" s="3">
        <v>0</v>
      </c>
      <c r="U1046" s="21">
        <v>200000</v>
      </c>
      <c r="V1046" s="8"/>
      <c r="W1046" s="8"/>
      <c r="X1046" s="8"/>
      <c r="Y1046" s="8"/>
      <c r="Z1046" s="8"/>
      <c r="AA1046" s="8"/>
      <c r="AB1046" s="8"/>
      <c r="AC1046" s="8"/>
      <c r="AD1046" s="8"/>
      <c r="AE1046" s="8"/>
      <c r="AF1046" s="8"/>
      <c r="AG1046" s="8"/>
      <c r="AH1046" s="8"/>
      <c r="AI1046" s="8"/>
      <c r="AJ1046" s="8"/>
      <c r="AK1046" s="8"/>
      <c r="AL1046" s="8"/>
      <c r="AM1046" s="8"/>
      <c r="AN1046" s="8"/>
      <c r="AO1046" s="8"/>
      <c r="AP1046" s="8"/>
      <c r="AQ1046" s="8"/>
      <c r="AR1046" s="8"/>
      <c r="AS1046" s="8"/>
      <c r="AT1046" s="8"/>
      <c r="AU1046" s="8"/>
      <c r="AV1046" s="8"/>
      <c r="AW1046" s="8"/>
      <c r="AX1046" s="8"/>
      <c r="AY1046" s="8"/>
      <c r="AZ1046" s="8"/>
      <c r="BA1046" s="8"/>
      <c r="BB1046" s="8"/>
      <c r="BC1046" s="8"/>
      <c r="BD1046" s="8"/>
      <c r="BE1046" s="8"/>
      <c r="BF1046" s="8"/>
      <c r="BG1046" s="8"/>
      <c r="BH1046" s="8"/>
      <c r="BI1046" s="8"/>
      <c r="BJ1046" s="8"/>
      <c r="BK1046" s="8"/>
      <c r="BL1046" s="8"/>
      <c r="BM1046" s="8"/>
      <c r="BN1046" s="8"/>
      <c r="BO1046" s="8"/>
      <c r="BP1046" s="8"/>
      <c r="BQ1046" s="8"/>
      <c r="BR1046" s="8"/>
      <c r="BS1046" s="8"/>
      <c r="BT1046" s="8"/>
      <c r="BU1046" s="8"/>
      <c r="BV1046" s="8"/>
      <c r="BW1046" s="8"/>
      <c r="BX1046" s="8"/>
      <c r="BY1046" s="8"/>
      <c r="BZ1046" s="8"/>
      <c r="CA1046" s="8"/>
      <c r="CB1046" s="8"/>
      <c r="CC1046" s="8"/>
      <c r="CD1046" s="8"/>
      <c r="CE1046" s="8"/>
      <c r="CF1046" s="8"/>
      <c r="CG1046" s="8"/>
      <c r="CH1046" s="8"/>
      <c r="CI1046" s="8"/>
      <c r="CJ1046" s="8"/>
      <c r="CK1046" s="8"/>
      <c r="CL1046" s="8"/>
      <c r="CM1046" s="8"/>
      <c r="CN1046" s="8"/>
      <c r="CO1046" s="8"/>
      <c r="CP1046" s="8"/>
      <c r="CQ1046" s="8"/>
      <c r="CR1046" s="8"/>
      <c r="CS1046" s="8"/>
      <c r="CT1046" s="8"/>
      <c r="CU1046" s="8"/>
      <c r="CV1046" s="8"/>
      <c r="CW1046" s="8"/>
      <c r="CX1046" s="8"/>
      <c r="CY1046" s="8"/>
      <c r="CZ1046" s="8"/>
      <c r="DA1046" s="8"/>
      <c r="DB1046" s="8"/>
      <c r="DC1046" s="8"/>
      <c r="DD1046" s="8"/>
      <c r="DE1046" s="8"/>
      <c r="DF1046" s="8"/>
      <c r="DG1046" s="8"/>
      <c r="DH1046" s="8"/>
      <c r="DI1046" s="8"/>
      <c r="DJ1046" s="8"/>
      <c r="DK1046" s="8"/>
      <c r="DL1046" s="8"/>
      <c r="DM1046" s="8"/>
      <c r="DN1046" s="8"/>
      <c r="DO1046" s="8"/>
      <c r="DP1046" s="8"/>
      <c r="DQ1046" s="8"/>
      <c r="DR1046" s="8"/>
      <c r="DS1046" s="8"/>
      <c r="DT1046" s="8"/>
      <c r="DU1046" s="8"/>
      <c r="DV1046" s="8"/>
      <c r="DW1046" s="8"/>
      <c r="DX1046" s="8"/>
      <c r="DY1046" s="8"/>
      <c r="DZ1046" s="8"/>
      <c r="EA1046" s="8"/>
      <c r="EB1046" s="8"/>
      <c r="EC1046" s="8"/>
      <c r="ED1046" s="8"/>
      <c r="EE1046" s="8"/>
      <c r="EF1046" s="8"/>
      <c r="EG1046" s="8"/>
      <c r="EH1046" s="8"/>
      <c r="EI1046" s="8"/>
      <c r="EJ1046" s="8"/>
      <c r="EK1046" s="8"/>
      <c r="EL1046" s="8"/>
      <c r="EM1046" s="8"/>
      <c r="EN1046" s="8"/>
      <c r="EO1046" s="8"/>
      <c r="EP1046" s="8"/>
      <c r="EQ1046" s="8"/>
      <c r="ER1046" s="8"/>
      <c r="ES1046" s="8"/>
      <c r="ET1046" s="8"/>
      <c r="EU1046" s="8"/>
      <c r="EV1046" s="8"/>
      <c r="EW1046" s="8"/>
      <c r="EX1046" s="8"/>
      <c r="EY1046" s="8"/>
      <c r="EZ1046" s="8"/>
      <c r="FA1046" s="8"/>
      <c r="FB1046" s="8"/>
      <c r="FC1046" s="8"/>
      <c r="FD1046" s="8"/>
      <c r="FE1046" s="8"/>
      <c r="FF1046" s="8"/>
      <c r="FG1046" s="8"/>
      <c r="FH1046" s="8"/>
      <c r="FI1046" s="8"/>
      <c r="FJ1046" s="8"/>
      <c r="FK1046" s="8"/>
      <c r="FL1046" s="8"/>
      <c r="FM1046" s="8"/>
      <c r="FN1046" s="8"/>
      <c r="FO1046" s="8"/>
      <c r="FP1046" s="8"/>
      <c r="FQ1046" s="8"/>
      <c r="FR1046" s="8"/>
      <c r="FS1046" s="8"/>
      <c r="FT1046" s="8"/>
      <c r="FU1046" s="8"/>
      <c r="FV1046" s="8"/>
      <c r="FW1046" s="8"/>
      <c r="FX1046" s="8"/>
      <c r="FY1046" s="8"/>
      <c r="FZ1046" s="8"/>
      <c r="GA1046" s="8"/>
      <c r="GB1046" s="8"/>
      <c r="GC1046" s="8"/>
      <c r="GD1046" s="8"/>
      <c r="GE1046" s="8"/>
      <c r="GF1046" s="8"/>
      <c r="GG1046" s="8"/>
      <c r="GH1046" s="8"/>
      <c r="GI1046" s="8"/>
      <c r="GJ1046" s="8"/>
      <c r="GK1046" s="8"/>
      <c r="GL1046" s="8"/>
      <c r="GM1046" s="8"/>
      <c r="GN1046" s="8"/>
      <c r="GO1046" s="8"/>
      <c r="GP1046" s="8"/>
      <c r="GQ1046" s="8"/>
      <c r="GR1046" s="8"/>
      <c r="GS1046" s="8"/>
      <c r="GT1046" s="8"/>
      <c r="GU1046" s="8"/>
      <c r="GV1046" s="8"/>
      <c r="GW1046" s="8"/>
      <c r="GX1046" s="8"/>
      <c r="GY1046" s="8"/>
      <c r="GZ1046" s="8"/>
      <c r="HA1046" s="8"/>
      <c r="HB1046" s="8"/>
      <c r="HC1046" s="8"/>
      <c r="HD1046" s="8"/>
      <c r="HE1046" s="8"/>
      <c r="HF1046" s="8"/>
      <c r="HG1046" s="8"/>
      <c r="HH1046" s="8"/>
      <c r="HI1046" s="8"/>
      <c r="HJ1046" s="8"/>
      <c r="HK1046" s="8"/>
      <c r="HL1046" s="8"/>
      <c r="HM1046" s="8"/>
      <c r="HN1046" s="8"/>
      <c r="HO1046" s="8"/>
      <c r="HP1046" s="8"/>
      <c r="HQ1046" s="8"/>
      <c r="HR1046" s="8"/>
      <c r="HS1046" s="8"/>
      <c r="HT1046" s="8"/>
      <c r="HU1046" s="8"/>
      <c r="HV1046" s="8"/>
      <c r="HW1046" s="8"/>
      <c r="HX1046" s="8"/>
      <c r="HY1046" s="8"/>
      <c r="HZ1046" s="8"/>
      <c r="IA1046" s="8"/>
      <c r="IB1046" s="8"/>
      <c r="IC1046" s="8"/>
      <c r="ID1046" s="8"/>
      <c r="IE1046" s="8"/>
      <c r="IF1046" s="8"/>
      <c r="IG1046" s="8"/>
      <c r="IH1046" s="8"/>
      <c r="II1046" s="8"/>
      <c r="IJ1046" s="8"/>
      <c r="IK1046" s="8"/>
      <c r="IL1046" s="8"/>
      <c r="IM1046" s="8"/>
      <c r="IN1046" s="8"/>
      <c r="IO1046" s="8"/>
      <c r="IP1046" s="8"/>
      <c r="IQ1046" s="8"/>
      <c r="IR1046" s="8"/>
      <c r="IS1046" s="8"/>
      <c r="IT1046" s="8"/>
      <c r="IU1046" s="8"/>
      <c r="IV1046" s="8"/>
      <c r="IW1046" s="8"/>
      <c r="IX1046" s="8"/>
    </row>
    <row r="1047" spans="1:258" ht="21.95" customHeight="1">
      <c r="A1047" s="52" t="s">
        <v>1869</v>
      </c>
      <c r="B1047" s="24" t="s">
        <v>782</v>
      </c>
      <c r="C1047" s="1">
        <f t="shared" si="274"/>
        <v>1506450</v>
      </c>
      <c r="D1047" s="21">
        <f t="shared" si="273"/>
        <v>0</v>
      </c>
      <c r="E1047" s="21">
        <v>0</v>
      </c>
      <c r="F1047" s="21">
        <v>0</v>
      </c>
      <c r="G1047" s="21">
        <v>0</v>
      </c>
      <c r="H1047" s="21">
        <v>0</v>
      </c>
      <c r="I1047" s="21">
        <v>0</v>
      </c>
      <c r="J1047" s="21">
        <v>0</v>
      </c>
      <c r="K1047" s="40">
        <v>0</v>
      </c>
      <c r="L1047" s="21">
        <v>0</v>
      </c>
      <c r="M1047" s="3">
        <v>246.5</v>
      </c>
      <c r="N1047" s="3">
        <v>1306450</v>
      </c>
      <c r="O1047" s="21">
        <v>0</v>
      </c>
      <c r="P1047" s="21">
        <v>0</v>
      </c>
      <c r="Q1047" s="21">
        <v>0</v>
      </c>
      <c r="R1047" s="21">
        <v>0</v>
      </c>
      <c r="S1047" s="21">
        <v>0</v>
      </c>
      <c r="T1047" s="3">
        <v>0</v>
      </c>
      <c r="U1047" s="21">
        <v>200000</v>
      </c>
      <c r="V1047" s="8"/>
      <c r="W1047" s="8"/>
      <c r="X1047" s="8"/>
      <c r="Y1047" s="8"/>
      <c r="Z1047" s="8"/>
      <c r="AA1047" s="8"/>
      <c r="AB1047" s="8"/>
      <c r="AC1047" s="8"/>
      <c r="AD1047" s="8"/>
      <c r="AE1047" s="8"/>
      <c r="AF1047" s="8"/>
      <c r="AG1047" s="8"/>
      <c r="AH1047" s="8"/>
      <c r="AI1047" s="8"/>
      <c r="AJ1047" s="8"/>
      <c r="AK1047" s="8"/>
      <c r="AL1047" s="8"/>
      <c r="AM1047" s="8"/>
      <c r="AN1047" s="8"/>
      <c r="AO1047" s="8"/>
      <c r="AP1047" s="8"/>
      <c r="AQ1047" s="8"/>
      <c r="AR1047" s="8"/>
      <c r="AS1047" s="8"/>
      <c r="AT1047" s="8"/>
      <c r="AU1047" s="8"/>
      <c r="AV1047" s="8"/>
      <c r="AW1047" s="8"/>
      <c r="AX1047" s="8"/>
      <c r="AY1047" s="8"/>
      <c r="AZ1047" s="8"/>
      <c r="BA1047" s="8"/>
      <c r="BB1047" s="8"/>
      <c r="BC1047" s="8"/>
      <c r="BD1047" s="8"/>
      <c r="BE1047" s="8"/>
      <c r="BF1047" s="8"/>
      <c r="BG1047" s="8"/>
      <c r="BH1047" s="8"/>
      <c r="BI1047" s="8"/>
      <c r="BJ1047" s="8"/>
      <c r="BK1047" s="8"/>
      <c r="BL1047" s="8"/>
      <c r="BM1047" s="8"/>
      <c r="BN1047" s="8"/>
      <c r="BO1047" s="8"/>
      <c r="BP1047" s="8"/>
      <c r="BQ1047" s="8"/>
      <c r="BR1047" s="8"/>
      <c r="BS1047" s="8"/>
      <c r="BT1047" s="8"/>
      <c r="BU1047" s="8"/>
      <c r="BV1047" s="8"/>
      <c r="BW1047" s="8"/>
      <c r="BX1047" s="8"/>
      <c r="BY1047" s="8"/>
      <c r="BZ1047" s="8"/>
      <c r="CA1047" s="8"/>
      <c r="CB1047" s="8"/>
      <c r="CC1047" s="8"/>
      <c r="CD1047" s="8"/>
      <c r="CE1047" s="8"/>
      <c r="CF1047" s="8"/>
      <c r="CG1047" s="8"/>
      <c r="CH1047" s="8"/>
      <c r="CI1047" s="8"/>
      <c r="CJ1047" s="8"/>
      <c r="CK1047" s="8"/>
      <c r="CL1047" s="8"/>
      <c r="CM1047" s="8"/>
      <c r="CN1047" s="8"/>
      <c r="CO1047" s="8"/>
      <c r="CP1047" s="8"/>
      <c r="CQ1047" s="8"/>
      <c r="CR1047" s="8"/>
      <c r="CS1047" s="8"/>
      <c r="CT1047" s="8"/>
      <c r="CU1047" s="8"/>
      <c r="CV1047" s="8"/>
      <c r="CW1047" s="8"/>
      <c r="CX1047" s="8"/>
      <c r="CY1047" s="8"/>
      <c r="CZ1047" s="8"/>
      <c r="DA1047" s="8"/>
      <c r="DB1047" s="8"/>
      <c r="DC1047" s="8"/>
      <c r="DD1047" s="8"/>
      <c r="DE1047" s="8"/>
      <c r="DF1047" s="8"/>
      <c r="DG1047" s="8"/>
      <c r="DH1047" s="8"/>
      <c r="DI1047" s="8"/>
      <c r="DJ1047" s="8"/>
      <c r="DK1047" s="8"/>
      <c r="DL1047" s="8"/>
      <c r="DM1047" s="8"/>
      <c r="DN1047" s="8"/>
      <c r="DO1047" s="8"/>
      <c r="DP1047" s="8"/>
      <c r="DQ1047" s="8"/>
      <c r="DR1047" s="8"/>
      <c r="DS1047" s="8"/>
      <c r="DT1047" s="8"/>
      <c r="DU1047" s="8"/>
      <c r="DV1047" s="8"/>
      <c r="DW1047" s="8"/>
      <c r="DX1047" s="8"/>
      <c r="DY1047" s="8"/>
      <c r="DZ1047" s="8"/>
      <c r="EA1047" s="8"/>
      <c r="EB1047" s="8"/>
      <c r="EC1047" s="8"/>
      <c r="ED1047" s="8"/>
      <c r="EE1047" s="8"/>
      <c r="EF1047" s="8"/>
      <c r="EG1047" s="8"/>
      <c r="EH1047" s="8"/>
      <c r="EI1047" s="8"/>
      <c r="EJ1047" s="8"/>
      <c r="EK1047" s="8"/>
      <c r="EL1047" s="8"/>
      <c r="EM1047" s="8"/>
      <c r="EN1047" s="8"/>
      <c r="EO1047" s="8"/>
      <c r="EP1047" s="8"/>
      <c r="EQ1047" s="8"/>
      <c r="ER1047" s="8"/>
      <c r="ES1047" s="8"/>
      <c r="ET1047" s="8"/>
      <c r="EU1047" s="8"/>
      <c r="EV1047" s="8"/>
      <c r="EW1047" s="8"/>
      <c r="EX1047" s="8"/>
      <c r="EY1047" s="8"/>
      <c r="EZ1047" s="8"/>
      <c r="FA1047" s="8"/>
      <c r="FB1047" s="8"/>
      <c r="FC1047" s="8"/>
      <c r="FD1047" s="8"/>
      <c r="FE1047" s="8"/>
      <c r="FF1047" s="8"/>
      <c r="FG1047" s="8"/>
      <c r="FH1047" s="8"/>
      <c r="FI1047" s="8"/>
      <c r="FJ1047" s="8"/>
      <c r="FK1047" s="8"/>
      <c r="FL1047" s="8"/>
      <c r="FM1047" s="8"/>
      <c r="FN1047" s="8"/>
      <c r="FO1047" s="8"/>
      <c r="FP1047" s="8"/>
      <c r="FQ1047" s="8"/>
      <c r="FR1047" s="8"/>
      <c r="FS1047" s="8"/>
      <c r="FT1047" s="8"/>
      <c r="FU1047" s="8"/>
      <c r="FV1047" s="8"/>
      <c r="FW1047" s="8"/>
      <c r="FX1047" s="8"/>
      <c r="FY1047" s="8"/>
      <c r="FZ1047" s="8"/>
      <c r="GA1047" s="8"/>
      <c r="GB1047" s="8"/>
      <c r="GC1047" s="8"/>
      <c r="GD1047" s="8"/>
      <c r="GE1047" s="8"/>
      <c r="GF1047" s="8"/>
      <c r="GG1047" s="8"/>
      <c r="GH1047" s="8"/>
      <c r="GI1047" s="8"/>
      <c r="GJ1047" s="8"/>
      <c r="GK1047" s="8"/>
      <c r="GL1047" s="8"/>
      <c r="GM1047" s="8"/>
      <c r="GN1047" s="8"/>
      <c r="GO1047" s="8"/>
      <c r="GP1047" s="8"/>
      <c r="GQ1047" s="8"/>
      <c r="GR1047" s="8"/>
      <c r="GS1047" s="8"/>
      <c r="GT1047" s="8"/>
      <c r="GU1047" s="8"/>
      <c r="GV1047" s="8"/>
      <c r="GW1047" s="8"/>
      <c r="GX1047" s="8"/>
      <c r="GY1047" s="8"/>
      <c r="GZ1047" s="8"/>
      <c r="HA1047" s="8"/>
      <c r="HB1047" s="8"/>
      <c r="HC1047" s="8"/>
      <c r="HD1047" s="8"/>
      <c r="HE1047" s="8"/>
      <c r="HF1047" s="8"/>
      <c r="HG1047" s="8"/>
      <c r="HH1047" s="8"/>
      <c r="HI1047" s="8"/>
      <c r="HJ1047" s="8"/>
      <c r="HK1047" s="8"/>
      <c r="HL1047" s="8"/>
      <c r="HM1047" s="8"/>
      <c r="HN1047" s="8"/>
      <c r="HO1047" s="8"/>
      <c r="HP1047" s="8"/>
      <c r="HQ1047" s="8"/>
      <c r="HR1047" s="8"/>
      <c r="HS1047" s="8"/>
      <c r="HT1047" s="8"/>
      <c r="HU1047" s="8"/>
      <c r="HV1047" s="8"/>
      <c r="HW1047" s="8"/>
      <c r="HX1047" s="8"/>
      <c r="HY1047" s="8"/>
      <c r="HZ1047" s="8"/>
      <c r="IA1047" s="8"/>
      <c r="IB1047" s="8"/>
      <c r="IC1047" s="8"/>
      <c r="ID1047" s="8"/>
      <c r="IE1047" s="8"/>
      <c r="IF1047" s="8"/>
      <c r="IG1047" s="8"/>
      <c r="IH1047" s="8"/>
      <c r="II1047" s="8"/>
      <c r="IJ1047" s="8"/>
      <c r="IK1047" s="8"/>
      <c r="IL1047" s="8"/>
      <c r="IM1047" s="8"/>
      <c r="IN1047" s="8"/>
      <c r="IO1047" s="8"/>
      <c r="IP1047" s="8"/>
      <c r="IQ1047" s="8"/>
      <c r="IR1047" s="8"/>
      <c r="IS1047" s="8"/>
      <c r="IT1047" s="8"/>
      <c r="IU1047" s="8"/>
      <c r="IV1047" s="8"/>
      <c r="IW1047" s="8"/>
      <c r="IX1047" s="8"/>
    </row>
    <row r="1048" spans="1:258" ht="21.95" customHeight="1">
      <c r="A1048" s="52" t="s">
        <v>1870</v>
      </c>
      <c r="B1048" s="24" t="s">
        <v>688</v>
      </c>
      <c r="C1048" s="1">
        <f t="shared" si="274"/>
        <v>1492140</v>
      </c>
      <c r="D1048" s="21">
        <f t="shared" si="273"/>
        <v>0</v>
      </c>
      <c r="E1048" s="21">
        <v>0</v>
      </c>
      <c r="F1048" s="21">
        <v>0</v>
      </c>
      <c r="G1048" s="21">
        <v>0</v>
      </c>
      <c r="H1048" s="21">
        <v>0</v>
      </c>
      <c r="I1048" s="21">
        <v>0</v>
      </c>
      <c r="J1048" s="21">
        <v>0</v>
      </c>
      <c r="K1048" s="40">
        <v>0</v>
      </c>
      <c r="L1048" s="21">
        <v>0</v>
      </c>
      <c r="M1048" s="3">
        <v>243.8</v>
      </c>
      <c r="N1048" s="3">
        <v>1292140</v>
      </c>
      <c r="O1048" s="21">
        <v>0</v>
      </c>
      <c r="P1048" s="21">
        <v>0</v>
      </c>
      <c r="Q1048" s="21">
        <v>0</v>
      </c>
      <c r="R1048" s="21">
        <v>0</v>
      </c>
      <c r="S1048" s="21">
        <v>0</v>
      </c>
      <c r="T1048" s="3">
        <v>0</v>
      </c>
      <c r="U1048" s="21">
        <v>200000</v>
      </c>
    </row>
    <row r="1049" spans="1:258" ht="21.95" customHeight="1">
      <c r="A1049" s="52" t="s">
        <v>1871</v>
      </c>
      <c r="B1049" s="24" t="s">
        <v>689</v>
      </c>
      <c r="C1049" s="1">
        <f t="shared" si="274"/>
        <v>1503270</v>
      </c>
      <c r="D1049" s="21">
        <f t="shared" si="273"/>
        <v>0</v>
      </c>
      <c r="E1049" s="21">
        <v>0</v>
      </c>
      <c r="F1049" s="21">
        <v>0</v>
      </c>
      <c r="G1049" s="21">
        <v>0</v>
      </c>
      <c r="H1049" s="21">
        <v>0</v>
      </c>
      <c r="I1049" s="21">
        <v>0</v>
      </c>
      <c r="J1049" s="21">
        <v>0</v>
      </c>
      <c r="K1049" s="40">
        <v>0</v>
      </c>
      <c r="L1049" s="21">
        <v>0</v>
      </c>
      <c r="M1049" s="21">
        <v>245.9</v>
      </c>
      <c r="N1049" s="21">
        <v>1303270</v>
      </c>
      <c r="O1049" s="21">
        <v>0</v>
      </c>
      <c r="P1049" s="21">
        <v>0</v>
      </c>
      <c r="Q1049" s="21">
        <v>0</v>
      </c>
      <c r="R1049" s="21">
        <v>0</v>
      </c>
      <c r="S1049" s="21">
        <v>0</v>
      </c>
      <c r="T1049" s="3">
        <v>0</v>
      </c>
      <c r="U1049" s="21">
        <v>200000</v>
      </c>
      <c r="V1049" s="15"/>
      <c r="W1049" s="15"/>
      <c r="X1049" s="15"/>
      <c r="Y1049" s="15"/>
      <c r="Z1049" s="15"/>
      <c r="AA1049" s="15"/>
      <c r="AB1049" s="15"/>
      <c r="AC1049" s="15"/>
      <c r="AD1049" s="15"/>
      <c r="AE1049" s="15"/>
      <c r="AF1049" s="15"/>
      <c r="AG1049" s="15"/>
      <c r="AH1049" s="15"/>
      <c r="AI1049" s="15"/>
      <c r="AJ1049" s="15"/>
      <c r="AK1049" s="15"/>
      <c r="AL1049" s="15"/>
      <c r="AM1049" s="15"/>
      <c r="AN1049" s="15"/>
      <c r="AO1049" s="15"/>
      <c r="AP1049" s="15"/>
      <c r="AQ1049" s="15"/>
      <c r="AR1049" s="15"/>
      <c r="AS1049" s="15"/>
      <c r="AT1049" s="15"/>
      <c r="AU1049" s="15"/>
      <c r="AV1049" s="15"/>
      <c r="AW1049" s="15"/>
      <c r="AX1049" s="15"/>
      <c r="AY1049" s="15"/>
      <c r="AZ1049" s="15"/>
      <c r="BA1049" s="15"/>
      <c r="BB1049" s="15"/>
      <c r="BC1049" s="15"/>
      <c r="BD1049" s="15"/>
      <c r="BE1049" s="15"/>
      <c r="BF1049" s="15"/>
      <c r="BG1049" s="15"/>
      <c r="BH1049" s="15"/>
      <c r="BI1049" s="15"/>
      <c r="BJ1049" s="15"/>
      <c r="BK1049" s="15"/>
      <c r="BL1049" s="15"/>
      <c r="BM1049" s="15"/>
      <c r="BN1049" s="15"/>
      <c r="BO1049" s="15"/>
      <c r="BP1049" s="15"/>
      <c r="BQ1049" s="15"/>
      <c r="BR1049" s="15"/>
      <c r="BS1049" s="15"/>
      <c r="BT1049" s="15"/>
      <c r="BU1049" s="15"/>
      <c r="BV1049" s="15"/>
      <c r="BW1049" s="15"/>
      <c r="BX1049" s="15"/>
      <c r="BY1049" s="15"/>
      <c r="BZ1049" s="15"/>
      <c r="CA1049" s="15"/>
      <c r="CB1049" s="15"/>
      <c r="CC1049" s="15"/>
      <c r="CD1049" s="15"/>
      <c r="CE1049" s="15"/>
      <c r="CF1049" s="15"/>
      <c r="CG1049" s="15"/>
      <c r="CH1049" s="15"/>
      <c r="CI1049" s="15"/>
      <c r="CJ1049" s="15"/>
      <c r="CK1049" s="15"/>
      <c r="CL1049" s="15"/>
      <c r="CM1049" s="15"/>
      <c r="CN1049" s="15"/>
      <c r="CO1049" s="15"/>
      <c r="CP1049" s="15"/>
      <c r="CQ1049" s="15"/>
      <c r="CR1049" s="15"/>
      <c r="CS1049" s="15"/>
      <c r="CT1049" s="15"/>
      <c r="CU1049" s="15"/>
      <c r="CV1049" s="15"/>
      <c r="CW1049" s="15"/>
      <c r="CX1049" s="15"/>
      <c r="CY1049" s="15"/>
      <c r="CZ1049" s="15"/>
      <c r="DA1049" s="15"/>
      <c r="DB1049" s="15"/>
      <c r="DC1049" s="15"/>
      <c r="DD1049" s="15"/>
      <c r="DE1049" s="15"/>
      <c r="DF1049" s="15"/>
      <c r="DG1049" s="15"/>
      <c r="DH1049" s="15"/>
      <c r="DI1049" s="15"/>
      <c r="DJ1049" s="15"/>
      <c r="DK1049" s="15"/>
      <c r="DL1049" s="15"/>
      <c r="DM1049" s="15"/>
      <c r="DN1049" s="15"/>
      <c r="DO1049" s="15"/>
      <c r="DP1049" s="15"/>
      <c r="DQ1049" s="15"/>
      <c r="DR1049" s="15"/>
      <c r="DS1049" s="15"/>
      <c r="DT1049" s="15"/>
      <c r="DU1049" s="15"/>
      <c r="DV1049" s="15"/>
      <c r="DW1049" s="15"/>
      <c r="DX1049" s="15"/>
      <c r="DY1049" s="15"/>
      <c r="DZ1049" s="15"/>
      <c r="EA1049" s="15"/>
      <c r="EB1049" s="15"/>
      <c r="EC1049" s="15"/>
      <c r="ED1049" s="15"/>
      <c r="EE1049" s="15"/>
      <c r="EF1049" s="15"/>
      <c r="EG1049" s="15"/>
      <c r="EH1049" s="15"/>
      <c r="EI1049" s="15"/>
      <c r="EJ1049" s="15"/>
      <c r="EK1049" s="15"/>
      <c r="EL1049" s="15"/>
      <c r="EM1049" s="15"/>
      <c r="EN1049" s="15"/>
      <c r="EO1049" s="15"/>
      <c r="EP1049" s="15"/>
      <c r="EQ1049" s="15"/>
      <c r="ER1049" s="15"/>
      <c r="ES1049" s="15"/>
      <c r="ET1049" s="15"/>
      <c r="EU1049" s="15"/>
      <c r="EV1049" s="15"/>
      <c r="EW1049" s="15"/>
      <c r="EX1049" s="15"/>
      <c r="EY1049" s="15"/>
      <c r="EZ1049" s="15"/>
      <c r="FA1049" s="15"/>
      <c r="FB1049" s="15"/>
      <c r="FC1049" s="15"/>
      <c r="FD1049" s="15"/>
      <c r="FE1049" s="15"/>
      <c r="FF1049" s="15"/>
      <c r="FG1049" s="15"/>
      <c r="FH1049" s="15"/>
      <c r="FI1049" s="15"/>
      <c r="FJ1049" s="15"/>
      <c r="FK1049" s="15"/>
      <c r="FL1049" s="15"/>
      <c r="FM1049" s="15"/>
      <c r="FN1049" s="15"/>
      <c r="FO1049" s="15"/>
      <c r="FP1049" s="15"/>
      <c r="FQ1049" s="15"/>
      <c r="FR1049" s="15"/>
      <c r="FS1049" s="15"/>
      <c r="FT1049" s="15"/>
      <c r="FU1049" s="15"/>
      <c r="FV1049" s="15"/>
      <c r="FW1049" s="15"/>
      <c r="FX1049" s="15"/>
      <c r="FY1049" s="15"/>
      <c r="FZ1049" s="15"/>
      <c r="GA1049" s="15"/>
      <c r="GB1049" s="15"/>
      <c r="GC1049" s="15"/>
      <c r="GD1049" s="15"/>
      <c r="GE1049" s="15"/>
      <c r="GF1049" s="15"/>
      <c r="GG1049" s="15"/>
      <c r="GH1049" s="15"/>
      <c r="GI1049" s="15"/>
      <c r="GJ1049" s="15"/>
      <c r="GK1049" s="15"/>
      <c r="GL1049" s="15"/>
      <c r="GM1049" s="15"/>
      <c r="GN1049" s="15"/>
      <c r="GO1049" s="15"/>
      <c r="GP1049" s="15"/>
      <c r="GQ1049" s="15"/>
      <c r="GR1049" s="15"/>
      <c r="GS1049" s="15"/>
      <c r="GT1049" s="15"/>
      <c r="GU1049" s="15"/>
      <c r="GV1049" s="15"/>
      <c r="GW1049" s="15"/>
      <c r="GX1049" s="15"/>
      <c r="GY1049" s="15"/>
      <c r="GZ1049" s="15"/>
      <c r="HA1049" s="15"/>
      <c r="HB1049" s="15"/>
      <c r="HC1049" s="15"/>
      <c r="HD1049" s="15"/>
      <c r="HE1049" s="15"/>
      <c r="HF1049" s="15"/>
      <c r="HG1049" s="15"/>
      <c r="HH1049" s="15"/>
      <c r="HI1049" s="15"/>
      <c r="HJ1049" s="15"/>
      <c r="HK1049" s="15"/>
      <c r="HL1049" s="15"/>
      <c r="HM1049" s="15"/>
      <c r="HN1049" s="15"/>
      <c r="HO1049" s="15"/>
      <c r="HP1049" s="15"/>
      <c r="HQ1049" s="15"/>
      <c r="HR1049" s="15"/>
      <c r="HS1049" s="15"/>
      <c r="HT1049" s="15"/>
      <c r="HU1049" s="15"/>
      <c r="HV1049" s="15"/>
      <c r="HW1049" s="15"/>
      <c r="HX1049" s="15"/>
      <c r="HY1049" s="15"/>
      <c r="HZ1049" s="15"/>
      <c r="IA1049" s="15"/>
      <c r="IB1049" s="15"/>
      <c r="IC1049" s="15"/>
      <c r="ID1049" s="15"/>
      <c r="IE1049" s="15"/>
      <c r="IF1049" s="15"/>
      <c r="IG1049" s="15"/>
      <c r="IH1049" s="15"/>
      <c r="II1049" s="15"/>
      <c r="IJ1049" s="15"/>
      <c r="IK1049" s="15"/>
      <c r="IL1049" s="15"/>
      <c r="IM1049" s="15"/>
      <c r="IN1049" s="15"/>
      <c r="IO1049" s="15"/>
      <c r="IP1049" s="15"/>
      <c r="IQ1049" s="15"/>
      <c r="IR1049" s="15"/>
      <c r="IS1049" s="15"/>
      <c r="IT1049" s="15"/>
      <c r="IU1049" s="15"/>
      <c r="IV1049" s="15"/>
      <c r="IW1049" s="15"/>
      <c r="IX1049" s="15"/>
    </row>
    <row r="1050" spans="1:258" ht="21.95" customHeight="1">
      <c r="A1050" s="52" t="s">
        <v>1872</v>
      </c>
      <c r="B1050" s="24" t="s">
        <v>690</v>
      </c>
      <c r="C1050" s="1">
        <f t="shared" si="274"/>
        <v>1493730</v>
      </c>
      <c r="D1050" s="21">
        <f t="shared" si="273"/>
        <v>0</v>
      </c>
      <c r="E1050" s="21">
        <v>0</v>
      </c>
      <c r="F1050" s="21">
        <v>0</v>
      </c>
      <c r="G1050" s="21">
        <v>0</v>
      </c>
      <c r="H1050" s="21">
        <v>0</v>
      </c>
      <c r="I1050" s="21">
        <v>0</v>
      </c>
      <c r="J1050" s="21">
        <v>0</v>
      </c>
      <c r="K1050" s="40">
        <v>0</v>
      </c>
      <c r="L1050" s="21">
        <v>0</v>
      </c>
      <c r="M1050" s="21">
        <v>244.1</v>
      </c>
      <c r="N1050" s="21">
        <v>1293730</v>
      </c>
      <c r="O1050" s="21">
        <v>0</v>
      </c>
      <c r="P1050" s="21">
        <v>0</v>
      </c>
      <c r="Q1050" s="21">
        <v>0</v>
      </c>
      <c r="R1050" s="21">
        <v>0</v>
      </c>
      <c r="S1050" s="21">
        <v>0</v>
      </c>
      <c r="T1050" s="3">
        <v>0</v>
      </c>
      <c r="U1050" s="21">
        <v>200000</v>
      </c>
      <c r="V1050" s="9"/>
      <c r="W1050" s="9"/>
      <c r="X1050" s="9"/>
      <c r="Y1050" s="9"/>
      <c r="Z1050" s="9"/>
      <c r="AA1050" s="9"/>
      <c r="AB1050" s="9"/>
      <c r="AC1050" s="9"/>
      <c r="AD1050" s="9"/>
      <c r="AE1050" s="9"/>
      <c r="AF1050" s="9"/>
      <c r="AG1050" s="9"/>
      <c r="AH1050" s="9"/>
      <c r="AI1050" s="9"/>
      <c r="AJ1050" s="9"/>
      <c r="AK1050" s="9"/>
      <c r="AL1050" s="9"/>
      <c r="AM1050" s="9"/>
      <c r="AN1050" s="9"/>
      <c r="AO1050" s="9"/>
      <c r="AP1050" s="9"/>
      <c r="AQ1050" s="9"/>
      <c r="AR1050" s="9"/>
      <c r="AS1050" s="9"/>
      <c r="AT1050" s="9"/>
      <c r="AU1050" s="9"/>
      <c r="AV1050" s="9"/>
      <c r="AW1050" s="9"/>
      <c r="AX1050" s="9"/>
      <c r="AY1050" s="9"/>
      <c r="AZ1050" s="9"/>
      <c r="BA1050" s="9"/>
      <c r="BB1050" s="9"/>
      <c r="BC1050" s="9"/>
      <c r="BD1050" s="9"/>
      <c r="BE1050" s="9"/>
      <c r="BF1050" s="9"/>
      <c r="BG1050" s="9"/>
      <c r="BH1050" s="9"/>
      <c r="BI1050" s="9"/>
      <c r="BJ1050" s="9"/>
      <c r="BK1050" s="9"/>
      <c r="BL1050" s="9"/>
      <c r="BM1050" s="9"/>
      <c r="BN1050" s="9"/>
      <c r="BO1050" s="9"/>
      <c r="BP1050" s="9"/>
      <c r="BQ1050" s="9"/>
      <c r="BR1050" s="9"/>
      <c r="BS1050" s="9"/>
      <c r="BT1050" s="9"/>
      <c r="BU1050" s="9"/>
      <c r="BV1050" s="9"/>
      <c r="BW1050" s="9"/>
      <c r="BX1050" s="9"/>
      <c r="BY1050" s="9"/>
      <c r="BZ1050" s="9"/>
      <c r="CA1050" s="9"/>
      <c r="CB1050" s="9"/>
      <c r="CC1050" s="9"/>
      <c r="CD1050" s="9"/>
      <c r="CE1050" s="9"/>
      <c r="CF1050" s="9"/>
      <c r="CG1050" s="9"/>
      <c r="CH1050" s="9"/>
      <c r="CI1050" s="9"/>
      <c r="CJ1050" s="9"/>
      <c r="CK1050" s="9"/>
      <c r="CL1050" s="9"/>
      <c r="CM1050" s="9"/>
      <c r="CN1050" s="9"/>
      <c r="CO1050" s="9"/>
      <c r="CP1050" s="9"/>
      <c r="CQ1050" s="9"/>
      <c r="CR1050" s="9"/>
      <c r="CS1050" s="9"/>
      <c r="CT1050" s="9"/>
      <c r="CU1050" s="9"/>
      <c r="CV1050" s="9"/>
      <c r="CW1050" s="9"/>
      <c r="CX1050" s="9"/>
      <c r="CY1050" s="9"/>
      <c r="CZ1050" s="9"/>
      <c r="DA1050" s="9"/>
      <c r="DB1050" s="9"/>
      <c r="DC1050" s="9"/>
      <c r="DD1050" s="9"/>
      <c r="DE1050" s="9"/>
      <c r="DF1050" s="9"/>
      <c r="DG1050" s="9"/>
      <c r="DH1050" s="9"/>
      <c r="DI1050" s="9"/>
      <c r="DJ1050" s="9"/>
      <c r="DK1050" s="9"/>
      <c r="DL1050" s="9"/>
      <c r="DM1050" s="9"/>
      <c r="DN1050" s="9"/>
      <c r="DO1050" s="9"/>
      <c r="DP1050" s="9"/>
      <c r="DQ1050" s="9"/>
      <c r="DR1050" s="9"/>
      <c r="DS1050" s="9"/>
      <c r="DT1050" s="9"/>
      <c r="DU1050" s="9"/>
      <c r="DV1050" s="9"/>
      <c r="DW1050" s="9"/>
      <c r="DX1050" s="9"/>
      <c r="DY1050" s="9"/>
      <c r="DZ1050" s="9"/>
      <c r="EA1050" s="9"/>
      <c r="EB1050" s="9"/>
      <c r="EC1050" s="9"/>
      <c r="ED1050" s="9"/>
      <c r="EE1050" s="9"/>
      <c r="EF1050" s="9"/>
      <c r="EG1050" s="9"/>
      <c r="EH1050" s="9"/>
      <c r="EI1050" s="9"/>
      <c r="EJ1050" s="9"/>
      <c r="EK1050" s="9"/>
      <c r="EL1050" s="9"/>
      <c r="EM1050" s="9"/>
      <c r="EN1050" s="9"/>
      <c r="EO1050" s="9"/>
      <c r="EP1050" s="9"/>
      <c r="EQ1050" s="9"/>
      <c r="ER1050" s="9"/>
      <c r="ES1050" s="9"/>
      <c r="ET1050" s="9"/>
      <c r="EU1050" s="9"/>
      <c r="EV1050" s="9"/>
      <c r="EW1050" s="9"/>
      <c r="EX1050" s="9"/>
      <c r="EY1050" s="9"/>
      <c r="EZ1050" s="9"/>
      <c r="FA1050" s="9"/>
      <c r="FB1050" s="9"/>
      <c r="FC1050" s="9"/>
      <c r="FD1050" s="9"/>
      <c r="FE1050" s="9"/>
      <c r="FF1050" s="9"/>
      <c r="FG1050" s="9"/>
      <c r="FH1050" s="9"/>
      <c r="FI1050" s="9"/>
      <c r="FJ1050" s="9"/>
      <c r="FK1050" s="9"/>
      <c r="FL1050" s="9"/>
      <c r="FM1050" s="9"/>
      <c r="FN1050" s="9"/>
      <c r="FO1050" s="9"/>
      <c r="FP1050" s="9"/>
      <c r="FQ1050" s="9"/>
      <c r="FR1050" s="9"/>
      <c r="FS1050" s="9"/>
      <c r="FT1050" s="9"/>
      <c r="FU1050" s="9"/>
      <c r="FV1050" s="9"/>
      <c r="FW1050" s="9"/>
      <c r="FX1050" s="9"/>
      <c r="FY1050" s="9"/>
      <c r="FZ1050" s="9"/>
      <c r="GA1050" s="9"/>
      <c r="GB1050" s="9"/>
      <c r="GC1050" s="9"/>
      <c r="GD1050" s="9"/>
      <c r="GE1050" s="9"/>
      <c r="GF1050" s="9"/>
      <c r="GG1050" s="9"/>
      <c r="GH1050" s="9"/>
      <c r="GI1050" s="9"/>
      <c r="GJ1050" s="9"/>
      <c r="GK1050" s="9"/>
      <c r="GL1050" s="9"/>
      <c r="GM1050" s="9"/>
      <c r="GN1050" s="9"/>
      <c r="GO1050" s="9"/>
      <c r="GP1050" s="9"/>
      <c r="GQ1050" s="9"/>
      <c r="GR1050" s="9"/>
      <c r="GS1050" s="9"/>
      <c r="GT1050" s="9"/>
      <c r="GU1050" s="9"/>
      <c r="GV1050" s="9"/>
      <c r="GW1050" s="9"/>
      <c r="GX1050" s="9"/>
      <c r="GY1050" s="9"/>
      <c r="GZ1050" s="9"/>
      <c r="HA1050" s="9"/>
      <c r="HB1050" s="9"/>
      <c r="HC1050" s="9"/>
      <c r="HD1050" s="9"/>
      <c r="HE1050" s="9"/>
      <c r="HF1050" s="9"/>
      <c r="HG1050" s="9"/>
      <c r="HH1050" s="9"/>
      <c r="HI1050" s="9"/>
      <c r="HJ1050" s="9"/>
      <c r="HK1050" s="9"/>
      <c r="HL1050" s="9"/>
      <c r="HM1050" s="9"/>
      <c r="HN1050" s="9"/>
      <c r="HO1050" s="9"/>
      <c r="HP1050" s="9"/>
      <c r="HQ1050" s="9"/>
      <c r="HR1050" s="9"/>
      <c r="HS1050" s="9"/>
      <c r="HT1050" s="9"/>
      <c r="HU1050" s="9"/>
      <c r="HV1050" s="9"/>
      <c r="HW1050" s="9"/>
      <c r="HX1050" s="9"/>
      <c r="HY1050" s="9"/>
      <c r="HZ1050" s="9"/>
      <c r="IA1050" s="9"/>
      <c r="IB1050" s="9"/>
      <c r="IC1050" s="9"/>
      <c r="ID1050" s="9"/>
      <c r="IE1050" s="9"/>
      <c r="IF1050" s="9"/>
      <c r="IG1050" s="9"/>
      <c r="IH1050" s="9"/>
      <c r="II1050" s="9"/>
      <c r="IJ1050" s="9"/>
      <c r="IK1050" s="9"/>
      <c r="IL1050" s="9"/>
      <c r="IM1050" s="9"/>
      <c r="IN1050" s="9"/>
      <c r="IO1050" s="9"/>
      <c r="IP1050" s="9"/>
      <c r="IQ1050" s="9"/>
      <c r="IR1050" s="9"/>
      <c r="IS1050" s="9"/>
      <c r="IT1050" s="9"/>
      <c r="IU1050" s="9"/>
      <c r="IV1050" s="9"/>
      <c r="IW1050" s="9"/>
      <c r="IX1050" s="9"/>
    </row>
    <row r="1051" spans="1:258" ht="21.95" customHeight="1">
      <c r="A1051" s="52" t="s">
        <v>1873</v>
      </c>
      <c r="B1051" s="24" t="s">
        <v>783</v>
      </c>
      <c r="C1051" s="1">
        <f t="shared" si="274"/>
        <v>1497440</v>
      </c>
      <c r="D1051" s="21">
        <f t="shared" si="273"/>
        <v>0</v>
      </c>
      <c r="E1051" s="21">
        <v>0</v>
      </c>
      <c r="F1051" s="21">
        <v>0</v>
      </c>
      <c r="G1051" s="21">
        <v>0</v>
      </c>
      <c r="H1051" s="21">
        <v>0</v>
      </c>
      <c r="I1051" s="21">
        <v>0</v>
      </c>
      <c r="J1051" s="21">
        <v>0</v>
      </c>
      <c r="K1051" s="40">
        <v>0</v>
      </c>
      <c r="L1051" s="21">
        <v>0</v>
      </c>
      <c r="M1051" s="3">
        <v>244.8</v>
      </c>
      <c r="N1051" s="3">
        <v>1297440</v>
      </c>
      <c r="O1051" s="21">
        <v>0</v>
      </c>
      <c r="P1051" s="21">
        <v>0</v>
      </c>
      <c r="Q1051" s="21">
        <v>0</v>
      </c>
      <c r="R1051" s="21">
        <v>0</v>
      </c>
      <c r="S1051" s="21">
        <v>0</v>
      </c>
      <c r="T1051" s="3">
        <v>0</v>
      </c>
      <c r="U1051" s="21">
        <v>200000</v>
      </c>
    </row>
    <row r="1052" spans="1:258" ht="21.95" customHeight="1">
      <c r="A1052" s="52" t="s">
        <v>1874</v>
      </c>
      <c r="B1052" s="24" t="s">
        <v>784</v>
      </c>
      <c r="C1052" s="1">
        <f t="shared" si="274"/>
        <v>1497440</v>
      </c>
      <c r="D1052" s="21">
        <f t="shared" si="273"/>
        <v>0</v>
      </c>
      <c r="E1052" s="21">
        <v>0</v>
      </c>
      <c r="F1052" s="21">
        <v>0</v>
      </c>
      <c r="G1052" s="21">
        <v>0</v>
      </c>
      <c r="H1052" s="21">
        <v>0</v>
      </c>
      <c r="I1052" s="21">
        <v>0</v>
      </c>
      <c r="J1052" s="21">
        <v>0</v>
      </c>
      <c r="K1052" s="40">
        <v>0</v>
      </c>
      <c r="L1052" s="21">
        <v>0</v>
      </c>
      <c r="M1052" s="3">
        <v>244.8</v>
      </c>
      <c r="N1052" s="3">
        <v>1297440</v>
      </c>
      <c r="O1052" s="21">
        <v>0</v>
      </c>
      <c r="P1052" s="21">
        <v>0</v>
      </c>
      <c r="Q1052" s="21">
        <v>0</v>
      </c>
      <c r="R1052" s="21">
        <v>0</v>
      </c>
      <c r="S1052" s="21">
        <v>0</v>
      </c>
      <c r="T1052" s="3">
        <v>0</v>
      </c>
      <c r="U1052" s="21">
        <v>200000</v>
      </c>
    </row>
    <row r="1053" spans="1:258" ht="21.95" customHeight="1">
      <c r="A1053" s="52" t="s">
        <v>1875</v>
      </c>
      <c r="B1053" s="24" t="s">
        <v>691</v>
      </c>
      <c r="C1053" s="1">
        <f t="shared" si="274"/>
        <v>1503800</v>
      </c>
      <c r="D1053" s="21">
        <f t="shared" si="273"/>
        <v>0</v>
      </c>
      <c r="E1053" s="21">
        <v>0</v>
      </c>
      <c r="F1053" s="21">
        <v>0</v>
      </c>
      <c r="G1053" s="21">
        <v>0</v>
      </c>
      <c r="H1053" s="21">
        <v>0</v>
      </c>
      <c r="I1053" s="21">
        <v>0</v>
      </c>
      <c r="J1053" s="21">
        <v>0</v>
      </c>
      <c r="K1053" s="40">
        <v>0</v>
      </c>
      <c r="L1053" s="21">
        <v>0</v>
      </c>
      <c r="M1053" s="3">
        <v>246</v>
      </c>
      <c r="N1053" s="3">
        <v>1303800</v>
      </c>
      <c r="O1053" s="21">
        <v>0</v>
      </c>
      <c r="P1053" s="21">
        <v>0</v>
      </c>
      <c r="Q1053" s="21">
        <v>0</v>
      </c>
      <c r="R1053" s="21">
        <v>0</v>
      </c>
      <c r="S1053" s="21">
        <v>0</v>
      </c>
      <c r="T1053" s="3">
        <v>0</v>
      </c>
      <c r="U1053" s="21">
        <v>200000</v>
      </c>
      <c r="V1053" s="9"/>
      <c r="W1053" s="9"/>
      <c r="X1053" s="9"/>
      <c r="Y1053" s="9"/>
      <c r="Z1053" s="9"/>
      <c r="AA1053" s="9"/>
      <c r="AB1053" s="9"/>
      <c r="AC1053" s="9"/>
      <c r="AD1053" s="9"/>
      <c r="AE1053" s="9"/>
      <c r="AF1053" s="9"/>
      <c r="AG1053" s="9"/>
      <c r="AH1053" s="9"/>
      <c r="AI1053" s="9"/>
      <c r="AJ1053" s="9"/>
      <c r="AK1053" s="9"/>
      <c r="AL1053" s="9"/>
      <c r="AM1053" s="9"/>
      <c r="AN1053" s="9"/>
      <c r="AO1053" s="9"/>
      <c r="AP1053" s="9"/>
      <c r="AQ1053" s="9"/>
      <c r="AR1053" s="9"/>
      <c r="AS1053" s="9"/>
      <c r="AT1053" s="9"/>
      <c r="AU1053" s="9"/>
      <c r="AV1053" s="9"/>
      <c r="AW1053" s="9"/>
      <c r="AX1053" s="9"/>
      <c r="AY1053" s="9"/>
      <c r="AZ1053" s="9"/>
      <c r="BA1053" s="9"/>
      <c r="BB1053" s="9"/>
      <c r="BC1053" s="9"/>
      <c r="BD1053" s="9"/>
      <c r="BE1053" s="9"/>
      <c r="BF1053" s="9"/>
      <c r="BG1053" s="9"/>
      <c r="BH1053" s="9"/>
      <c r="BI1053" s="9"/>
      <c r="BJ1053" s="9"/>
      <c r="BK1053" s="9"/>
      <c r="BL1053" s="9"/>
      <c r="BM1053" s="9"/>
      <c r="BN1053" s="9"/>
      <c r="BO1053" s="9"/>
      <c r="BP1053" s="9"/>
      <c r="BQ1053" s="9"/>
      <c r="BR1053" s="9"/>
      <c r="BS1053" s="9"/>
      <c r="BT1053" s="9"/>
      <c r="BU1053" s="9"/>
      <c r="BV1053" s="9"/>
      <c r="BW1053" s="9"/>
      <c r="BX1053" s="9"/>
      <c r="BY1053" s="9"/>
      <c r="BZ1053" s="9"/>
      <c r="CA1053" s="9"/>
      <c r="CB1053" s="9"/>
      <c r="CC1053" s="9"/>
      <c r="CD1053" s="9"/>
      <c r="CE1053" s="9"/>
      <c r="CF1053" s="9"/>
      <c r="CG1053" s="9"/>
      <c r="CH1053" s="9"/>
      <c r="CI1053" s="9"/>
      <c r="CJ1053" s="9"/>
      <c r="CK1053" s="9"/>
      <c r="CL1053" s="9"/>
      <c r="CM1053" s="9"/>
      <c r="CN1053" s="9"/>
      <c r="CO1053" s="9"/>
      <c r="CP1053" s="9"/>
      <c r="CQ1053" s="9"/>
      <c r="CR1053" s="9"/>
      <c r="CS1053" s="9"/>
      <c r="CT1053" s="9"/>
      <c r="CU1053" s="9"/>
      <c r="CV1053" s="9"/>
      <c r="CW1053" s="9"/>
      <c r="CX1053" s="9"/>
      <c r="CY1053" s="9"/>
      <c r="CZ1053" s="9"/>
      <c r="DA1053" s="9"/>
      <c r="DB1053" s="9"/>
      <c r="DC1053" s="9"/>
      <c r="DD1053" s="9"/>
      <c r="DE1053" s="9"/>
      <c r="DF1053" s="9"/>
      <c r="DG1053" s="9"/>
      <c r="DH1053" s="9"/>
      <c r="DI1053" s="9"/>
      <c r="DJ1053" s="9"/>
      <c r="DK1053" s="9"/>
      <c r="DL1053" s="9"/>
      <c r="DM1053" s="9"/>
      <c r="DN1053" s="9"/>
      <c r="DO1053" s="9"/>
      <c r="DP1053" s="9"/>
      <c r="DQ1053" s="9"/>
      <c r="DR1053" s="9"/>
      <c r="DS1053" s="9"/>
      <c r="DT1053" s="9"/>
      <c r="DU1053" s="9"/>
      <c r="DV1053" s="9"/>
      <c r="DW1053" s="9"/>
      <c r="DX1053" s="9"/>
      <c r="DY1053" s="9"/>
      <c r="DZ1053" s="9"/>
      <c r="EA1053" s="9"/>
      <c r="EB1053" s="9"/>
      <c r="EC1053" s="9"/>
      <c r="ED1053" s="9"/>
      <c r="EE1053" s="9"/>
      <c r="EF1053" s="9"/>
      <c r="EG1053" s="9"/>
      <c r="EH1053" s="9"/>
      <c r="EI1053" s="9"/>
      <c r="EJ1053" s="9"/>
      <c r="EK1053" s="9"/>
      <c r="EL1053" s="9"/>
      <c r="EM1053" s="9"/>
      <c r="EN1053" s="9"/>
      <c r="EO1053" s="9"/>
      <c r="EP1053" s="9"/>
      <c r="EQ1053" s="9"/>
      <c r="ER1053" s="9"/>
      <c r="ES1053" s="9"/>
      <c r="ET1053" s="9"/>
      <c r="EU1053" s="9"/>
      <c r="EV1053" s="9"/>
      <c r="EW1053" s="9"/>
      <c r="EX1053" s="9"/>
      <c r="EY1053" s="9"/>
      <c r="EZ1053" s="9"/>
      <c r="FA1053" s="9"/>
      <c r="FB1053" s="9"/>
      <c r="FC1053" s="9"/>
      <c r="FD1053" s="9"/>
      <c r="FE1053" s="9"/>
      <c r="FF1053" s="9"/>
      <c r="FG1053" s="9"/>
      <c r="FH1053" s="9"/>
      <c r="FI1053" s="9"/>
      <c r="FJ1053" s="9"/>
      <c r="FK1053" s="9"/>
      <c r="FL1053" s="9"/>
      <c r="FM1053" s="9"/>
      <c r="FN1053" s="9"/>
      <c r="FO1053" s="9"/>
      <c r="FP1053" s="9"/>
      <c r="FQ1053" s="9"/>
      <c r="FR1053" s="9"/>
      <c r="FS1053" s="9"/>
      <c r="FT1053" s="9"/>
      <c r="FU1053" s="9"/>
      <c r="FV1053" s="9"/>
      <c r="FW1053" s="9"/>
      <c r="FX1053" s="9"/>
      <c r="FY1053" s="9"/>
      <c r="FZ1053" s="9"/>
      <c r="GA1053" s="9"/>
      <c r="GB1053" s="9"/>
      <c r="GC1053" s="9"/>
      <c r="GD1053" s="9"/>
      <c r="GE1053" s="9"/>
      <c r="GF1053" s="9"/>
      <c r="GG1053" s="9"/>
      <c r="GH1053" s="9"/>
      <c r="GI1053" s="9"/>
      <c r="GJ1053" s="9"/>
      <c r="GK1053" s="9"/>
      <c r="GL1053" s="9"/>
      <c r="GM1053" s="9"/>
      <c r="GN1053" s="9"/>
      <c r="GO1053" s="9"/>
      <c r="GP1053" s="9"/>
      <c r="GQ1053" s="9"/>
      <c r="GR1053" s="9"/>
      <c r="GS1053" s="9"/>
      <c r="GT1053" s="9"/>
      <c r="GU1053" s="9"/>
      <c r="GV1053" s="9"/>
      <c r="GW1053" s="9"/>
      <c r="GX1053" s="9"/>
      <c r="GY1053" s="9"/>
      <c r="GZ1053" s="9"/>
      <c r="HA1053" s="9"/>
      <c r="HB1053" s="9"/>
      <c r="HC1053" s="9"/>
      <c r="HD1053" s="9"/>
      <c r="HE1053" s="9"/>
      <c r="HF1053" s="9"/>
      <c r="HG1053" s="9"/>
      <c r="HH1053" s="9"/>
      <c r="HI1053" s="9"/>
      <c r="HJ1053" s="9"/>
      <c r="HK1053" s="9"/>
      <c r="HL1053" s="9"/>
      <c r="HM1053" s="9"/>
      <c r="HN1053" s="9"/>
      <c r="HO1053" s="9"/>
      <c r="HP1053" s="9"/>
      <c r="HQ1053" s="9"/>
      <c r="HR1053" s="9"/>
      <c r="HS1053" s="9"/>
      <c r="HT1053" s="9"/>
      <c r="HU1053" s="9"/>
      <c r="HV1053" s="9"/>
      <c r="HW1053" s="9"/>
      <c r="HX1053" s="9"/>
      <c r="HY1053" s="9"/>
      <c r="HZ1053" s="9"/>
      <c r="IA1053" s="9"/>
      <c r="IB1053" s="9"/>
      <c r="IC1053" s="9"/>
      <c r="ID1053" s="9"/>
      <c r="IE1053" s="9"/>
      <c r="IF1053" s="9"/>
      <c r="IG1053" s="9"/>
      <c r="IH1053" s="9"/>
      <c r="II1053" s="9"/>
      <c r="IJ1053" s="9"/>
      <c r="IK1053" s="9"/>
      <c r="IL1053" s="9"/>
      <c r="IM1053" s="9"/>
      <c r="IN1053" s="9"/>
      <c r="IO1053" s="9"/>
      <c r="IP1053" s="9"/>
      <c r="IQ1053" s="9"/>
      <c r="IR1053" s="9"/>
      <c r="IS1053" s="9"/>
      <c r="IT1053" s="9"/>
      <c r="IU1053" s="9"/>
      <c r="IV1053" s="9"/>
      <c r="IW1053" s="9"/>
      <c r="IX1053" s="9"/>
    </row>
    <row r="1054" spans="1:258" ht="21.95" customHeight="1">
      <c r="A1054" s="52" t="s">
        <v>1876</v>
      </c>
      <c r="B1054" s="24" t="s">
        <v>692</v>
      </c>
      <c r="C1054" s="1">
        <f t="shared" si="274"/>
        <v>1520760</v>
      </c>
      <c r="D1054" s="21">
        <f t="shared" si="273"/>
        <v>0</v>
      </c>
      <c r="E1054" s="21">
        <v>0</v>
      </c>
      <c r="F1054" s="21">
        <v>0</v>
      </c>
      <c r="G1054" s="21">
        <v>0</v>
      </c>
      <c r="H1054" s="21">
        <v>0</v>
      </c>
      <c r="I1054" s="21">
        <v>0</v>
      </c>
      <c r="J1054" s="21">
        <v>0</v>
      </c>
      <c r="K1054" s="40">
        <v>0</v>
      </c>
      <c r="L1054" s="21">
        <v>0</v>
      </c>
      <c r="M1054" s="21">
        <v>249.2</v>
      </c>
      <c r="N1054" s="21">
        <v>1320760</v>
      </c>
      <c r="O1054" s="21">
        <v>0</v>
      </c>
      <c r="P1054" s="21">
        <v>0</v>
      </c>
      <c r="Q1054" s="21">
        <v>0</v>
      </c>
      <c r="R1054" s="21">
        <v>0</v>
      </c>
      <c r="S1054" s="21">
        <v>0</v>
      </c>
      <c r="T1054" s="3">
        <v>0</v>
      </c>
      <c r="U1054" s="21">
        <v>200000</v>
      </c>
    </row>
    <row r="1055" spans="1:258" ht="21.95" customHeight="1">
      <c r="A1055" s="52" t="s">
        <v>1877</v>
      </c>
      <c r="B1055" s="24" t="s">
        <v>693</v>
      </c>
      <c r="C1055" s="1">
        <f t="shared" si="274"/>
        <v>1603440</v>
      </c>
      <c r="D1055" s="21">
        <f t="shared" si="273"/>
        <v>0</v>
      </c>
      <c r="E1055" s="21">
        <v>0</v>
      </c>
      <c r="F1055" s="21">
        <v>0</v>
      </c>
      <c r="G1055" s="21">
        <v>0</v>
      </c>
      <c r="H1055" s="21">
        <v>0</v>
      </c>
      <c r="I1055" s="21">
        <v>0</v>
      </c>
      <c r="J1055" s="21">
        <v>0</v>
      </c>
      <c r="K1055" s="40">
        <v>0</v>
      </c>
      <c r="L1055" s="21">
        <v>0</v>
      </c>
      <c r="M1055" s="21">
        <v>264.8</v>
      </c>
      <c r="N1055" s="21">
        <v>1403440</v>
      </c>
      <c r="O1055" s="21">
        <v>0</v>
      </c>
      <c r="P1055" s="21">
        <v>0</v>
      </c>
      <c r="Q1055" s="21">
        <v>0</v>
      </c>
      <c r="R1055" s="21">
        <v>0</v>
      </c>
      <c r="S1055" s="21">
        <v>0</v>
      </c>
      <c r="T1055" s="3">
        <v>0</v>
      </c>
      <c r="U1055" s="21">
        <v>200000</v>
      </c>
    </row>
    <row r="1056" spans="1:258" ht="21.95" customHeight="1">
      <c r="A1056" s="52" t="s">
        <v>1878</v>
      </c>
      <c r="B1056" s="24" t="s">
        <v>1349</v>
      </c>
      <c r="C1056" s="1">
        <f t="shared" si="274"/>
        <v>6650000</v>
      </c>
      <c r="D1056" s="21">
        <f t="shared" si="273"/>
        <v>0</v>
      </c>
      <c r="E1056" s="21">
        <v>0</v>
      </c>
      <c r="F1056" s="21">
        <v>0</v>
      </c>
      <c r="G1056" s="21">
        <v>0</v>
      </c>
      <c r="H1056" s="21">
        <v>0</v>
      </c>
      <c r="I1056" s="21">
        <v>0</v>
      </c>
      <c r="J1056" s="21">
        <v>0</v>
      </c>
      <c r="K1056" s="40">
        <v>3</v>
      </c>
      <c r="L1056" s="21">
        <f>K1056*2150000</f>
        <v>6450000</v>
      </c>
      <c r="M1056" s="21">
        <v>0</v>
      </c>
      <c r="N1056" s="21">
        <v>0</v>
      </c>
      <c r="O1056" s="21">
        <v>0</v>
      </c>
      <c r="P1056" s="21">
        <v>0</v>
      </c>
      <c r="Q1056" s="21">
        <v>0</v>
      </c>
      <c r="R1056" s="21">
        <v>0</v>
      </c>
      <c r="S1056" s="21">
        <v>0</v>
      </c>
      <c r="T1056" s="3">
        <v>0</v>
      </c>
      <c r="U1056" s="21">
        <v>200000</v>
      </c>
    </row>
    <row r="1057" spans="1:22" ht="21.95" customHeight="1">
      <c r="A1057" s="52" t="s">
        <v>1879</v>
      </c>
      <c r="B1057" s="24" t="s">
        <v>785</v>
      </c>
      <c r="C1057" s="1">
        <f t="shared" si="274"/>
        <v>3344900</v>
      </c>
      <c r="D1057" s="21">
        <f t="shared" si="273"/>
        <v>0</v>
      </c>
      <c r="E1057" s="21">
        <v>0</v>
      </c>
      <c r="F1057" s="21">
        <v>0</v>
      </c>
      <c r="G1057" s="21">
        <v>0</v>
      </c>
      <c r="H1057" s="21">
        <v>0</v>
      </c>
      <c r="I1057" s="21">
        <v>0</v>
      </c>
      <c r="J1057" s="21">
        <v>0</v>
      </c>
      <c r="K1057" s="40">
        <v>0</v>
      </c>
      <c r="L1057" s="21">
        <v>0</v>
      </c>
      <c r="M1057" s="3">
        <v>953</v>
      </c>
      <c r="N1057" s="3">
        <v>3144900</v>
      </c>
      <c r="O1057" s="21">
        <v>0</v>
      </c>
      <c r="P1057" s="21">
        <v>0</v>
      </c>
      <c r="Q1057" s="21">
        <v>0</v>
      </c>
      <c r="R1057" s="21">
        <v>0</v>
      </c>
      <c r="S1057" s="21">
        <v>0</v>
      </c>
      <c r="T1057" s="3">
        <v>0</v>
      </c>
      <c r="U1057" s="21">
        <v>200000</v>
      </c>
      <c r="V1057" s="13"/>
    </row>
    <row r="1058" spans="1:22" ht="21.95" customHeight="1">
      <c r="A1058" s="52" t="s">
        <v>1880</v>
      </c>
      <c r="B1058" s="24" t="s">
        <v>845</v>
      </c>
      <c r="C1058" s="1">
        <f t="shared" si="274"/>
        <v>15623248</v>
      </c>
      <c r="D1058" s="21">
        <f t="shared" si="273"/>
        <v>6173448</v>
      </c>
      <c r="E1058" s="21">
        <f>350*2572.27</f>
        <v>900294.5</v>
      </c>
      <c r="F1058" s="21">
        <f>800*2572.27</f>
        <v>2057816</v>
      </c>
      <c r="G1058" s="21">
        <f>350*2572.27</f>
        <v>900294.5</v>
      </c>
      <c r="H1058" s="21">
        <f>500*2572.27</f>
        <v>1286135</v>
      </c>
      <c r="I1058" s="21">
        <f>400*2572.27</f>
        <v>1028908</v>
      </c>
      <c r="J1058" s="21">
        <v>0</v>
      </c>
      <c r="K1058" s="40">
        <v>0</v>
      </c>
      <c r="L1058" s="21">
        <v>0</v>
      </c>
      <c r="M1058" s="3">
        <v>940</v>
      </c>
      <c r="N1058" s="3">
        <v>3102000</v>
      </c>
      <c r="O1058" s="21">
        <v>0</v>
      </c>
      <c r="P1058" s="21">
        <v>0</v>
      </c>
      <c r="Q1058" s="3">
        <v>2360</v>
      </c>
      <c r="R1058" s="3">
        <v>6147800</v>
      </c>
      <c r="S1058" s="3">
        <v>0</v>
      </c>
      <c r="T1058" s="3">
        <v>0</v>
      </c>
      <c r="U1058" s="21">
        <v>200000</v>
      </c>
    </row>
    <row r="1059" spans="1:22" ht="21.95" customHeight="1">
      <c r="A1059" s="52" t="s">
        <v>1881</v>
      </c>
      <c r="B1059" s="24" t="s">
        <v>846</v>
      </c>
      <c r="C1059" s="1">
        <f t="shared" si="274"/>
        <v>19949046</v>
      </c>
      <c r="D1059" s="21">
        <f t="shared" si="273"/>
        <v>8916096</v>
      </c>
      <c r="E1059" s="21">
        <f>350*3715.04</f>
        <v>1300264</v>
      </c>
      <c r="F1059" s="21">
        <f>800*3715.04</f>
        <v>2972032</v>
      </c>
      <c r="G1059" s="21">
        <f>350*3715.04</f>
        <v>1300264</v>
      </c>
      <c r="H1059" s="21">
        <f>500*3715.04</f>
        <v>1857520</v>
      </c>
      <c r="I1059" s="21">
        <f>400*3715.04</f>
        <v>1486016</v>
      </c>
      <c r="J1059" s="21">
        <v>0</v>
      </c>
      <c r="K1059" s="40">
        <v>0</v>
      </c>
      <c r="L1059" s="21">
        <v>0</v>
      </c>
      <c r="M1059" s="3">
        <v>954</v>
      </c>
      <c r="N1059" s="3">
        <v>3148200</v>
      </c>
      <c r="O1059" s="21">
        <v>0</v>
      </c>
      <c r="P1059" s="21">
        <v>0</v>
      </c>
      <c r="Q1059" s="21">
        <v>2950</v>
      </c>
      <c r="R1059" s="21">
        <v>7684750</v>
      </c>
      <c r="S1059" s="21">
        <v>0</v>
      </c>
      <c r="T1059" s="3">
        <v>0</v>
      </c>
      <c r="U1059" s="21">
        <v>200000</v>
      </c>
    </row>
    <row r="1060" spans="1:22" ht="21.95" customHeight="1">
      <c r="A1060" s="52" t="s">
        <v>1882</v>
      </c>
      <c r="B1060" s="24" t="s">
        <v>847</v>
      </c>
      <c r="C1060" s="1">
        <f t="shared" si="274"/>
        <v>15578428</v>
      </c>
      <c r="D1060" s="21">
        <f t="shared" si="273"/>
        <v>6112128</v>
      </c>
      <c r="E1060" s="21">
        <f>350*2546.72</f>
        <v>891351.99999999988</v>
      </c>
      <c r="F1060" s="21">
        <f>800*2546.72</f>
        <v>2037375.9999999998</v>
      </c>
      <c r="G1060" s="21">
        <f>350*2546.72</f>
        <v>891351.99999999988</v>
      </c>
      <c r="H1060" s="21">
        <f>500*2546.72</f>
        <v>1273360</v>
      </c>
      <c r="I1060" s="21">
        <f>400*2546.72</f>
        <v>1018687.9999999999</v>
      </c>
      <c r="J1060" s="21">
        <v>0</v>
      </c>
      <c r="K1060" s="40">
        <v>0</v>
      </c>
      <c r="L1060" s="21">
        <v>0</v>
      </c>
      <c r="M1060" s="3">
        <v>945</v>
      </c>
      <c r="N1060" s="3">
        <v>3118500</v>
      </c>
      <c r="O1060" s="21">
        <v>0</v>
      </c>
      <c r="P1060" s="21">
        <v>0</v>
      </c>
      <c r="Q1060" s="3">
        <v>2360</v>
      </c>
      <c r="R1060" s="3">
        <v>6147800</v>
      </c>
      <c r="S1060" s="21">
        <v>0</v>
      </c>
      <c r="T1060" s="3">
        <v>0</v>
      </c>
      <c r="U1060" s="3">
        <v>200000</v>
      </c>
      <c r="V1060" s="13"/>
    </row>
    <row r="1061" spans="1:22" ht="21.95" customHeight="1">
      <c r="A1061" s="52" t="s">
        <v>1883</v>
      </c>
      <c r="B1061" s="24" t="s">
        <v>694</v>
      </c>
      <c r="C1061" s="1">
        <f t="shared" si="274"/>
        <v>4363250</v>
      </c>
      <c r="D1061" s="21">
        <f t="shared" si="273"/>
        <v>0</v>
      </c>
      <c r="E1061" s="21">
        <v>0</v>
      </c>
      <c r="F1061" s="21">
        <v>0</v>
      </c>
      <c r="G1061" s="21">
        <v>0</v>
      </c>
      <c r="H1061" s="21">
        <v>0</v>
      </c>
      <c r="I1061" s="21">
        <v>0</v>
      </c>
      <c r="J1061" s="21">
        <v>0</v>
      </c>
      <c r="K1061" s="5">
        <v>0</v>
      </c>
      <c r="L1061" s="3">
        <v>0</v>
      </c>
      <c r="M1061" s="3">
        <v>427.7</v>
      </c>
      <c r="N1061" s="3">
        <v>2266810</v>
      </c>
      <c r="O1061" s="3">
        <v>0</v>
      </c>
      <c r="P1061" s="3">
        <v>0</v>
      </c>
      <c r="Q1061" s="3">
        <v>728</v>
      </c>
      <c r="R1061" s="3">
        <v>1896440</v>
      </c>
      <c r="S1061" s="3">
        <v>0</v>
      </c>
      <c r="T1061" s="3">
        <v>0</v>
      </c>
      <c r="U1061" s="3">
        <v>200000</v>
      </c>
    </row>
    <row r="1062" spans="1:22" ht="21.95" customHeight="1">
      <c r="A1062" s="52" t="s">
        <v>1884</v>
      </c>
      <c r="B1062" s="24" t="s">
        <v>695</v>
      </c>
      <c r="C1062" s="1">
        <f t="shared" si="274"/>
        <v>2757300</v>
      </c>
      <c r="D1062" s="21">
        <f t="shared" si="273"/>
        <v>0</v>
      </c>
      <c r="E1062" s="21">
        <v>0</v>
      </c>
      <c r="F1062" s="21">
        <v>0</v>
      </c>
      <c r="G1062" s="21">
        <v>0</v>
      </c>
      <c r="H1062" s="21">
        <v>0</v>
      </c>
      <c r="I1062" s="21">
        <v>0</v>
      </c>
      <c r="J1062" s="21">
        <v>0</v>
      </c>
      <c r="K1062" s="5">
        <v>0</v>
      </c>
      <c r="L1062" s="3">
        <v>0</v>
      </c>
      <c r="M1062" s="21">
        <v>303.60000000000002</v>
      </c>
      <c r="N1062" s="21">
        <v>1609080</v>
      </c>
      <c r="O1062" s="21">
        <v>0</v>
      </c>
      <c r="P1062" s="21">
        <v>0</v>
      </c>
      <c r="Q1062" s="21">
        <v>364</v>
      </c>
      <c r="R1062" s="21">
        <v>948220</v>
      </c>
      <c r="S1062" s="3">
        <v>0</v>
      </c>
      <c r="T1062" s="3">
        <v>0</v>
      </c>
      <c r="U1062" s="3">
        <v>200000</v>
      </c>
    </row>
    <row r="1063" spans="1:22" ht="21.95" customHeight="1">
      <c r="A1063" s="52" t="s">
        <v>1885</v>
      </c>
      <c r="B1063" s="24" t="s">
        <v>696</v>
      </c>
      <c r="C1063" s="1">
        <f t="shared" si="274"/>
        <v>2738220</v>
      </c>
      <c r="D1063" s="21">
        <f t="shared" si="273"/>
        <v>0</v>
      </c>
      <c r="E1063" s="21">
        <v>0</v>
      </c>
      <c r="F1063" s="21">
        <v>0</v>
      </c>
      <c r="G1063" s="21">
        <v>0</v>
      </c>
      <c r="H1063" s="21">
        <v>0</v>
      </c>
      <c r="I1063" s="21">
        <v>0</v>
      </c>
      <c r="J1063" s="21">
        <v>0</v>
      </c>
      <c r="K1063" s="5">
        <v>0</v>
      </c>
      <c r="L1063" s="3">
        <v>0</v>
      </c>
      <c r="M1063" s="21">
        <v>300</v>
      </c>
      <c r="N1063" s="21">
        <v>1590000</v>
      </c>
      <c r="O1063" s="21">
        <v>0</v>
      </c>
      <c r="P1063" s="21">
        <v>0</v>
      </c>
      <c r="Q1063" s="21">
        <v>364</v>
      </c>
      <c r="R1063" s="21">
        <v>948220</v>
      </c>
      <c r="S1063" s="21">
        <v>0</v>
      </c>
      <c r="T1063" s="3">
        <v>0</v>
      </c>
      <c r="U1063" s="3">
        <v>200000</v>
      </c>
    </row>
    <row r="1064" spans="1:22" ht="21.95" customHeight="1">
      <c r="A1064" s="52" t="s">
        <v>1886</v>
      </c>
      <c r="B1064" s="24" t="s">
        <v>697</v>
      </c>
      <c r="C1064" s="1">
        <f t="shared" si="274"/>
        <v>2764190</v>
      </c>
      <c r="D1064" s="21">
        <f t="shared" si="273"/>
        <v>0</v>
      </c>
      <c r="E1064" s="21">
        <v>0</v>
      </c>
      <c r="F1064" s="21">
        <v>0</v>
      </c>
      <c r="G1064" s="21">
        <v>0</v>
      </c>
      <c r="H1064" s="21">
        <v>0</v>
      </c>
      <c r="I1064" s="21">
        <v>0</v>
      </c>
      <c r="J1064" s="21">
        <v>0</v>
      </c>
      <c r="K1064" s="5">
        <v>0</v>
      </c>
      <c r="L1064" s="3">
        <v>0</v>
      </c>
      <c r="M1064" s="21">
        <v>304.89999999999998</v>
      </c>
      <c r="N1064" s="21">
        <v>1615970</v>
      </c>
      <c r="O1064" s="21">
        <v>0</v>
      </c>
      <c r="P1064" s="21">
        <v>0</v>
      </c>
      <c r="Q1064" s="21">
        <v>364</v>
      </c>
      <c r="R1064" s="21">
        <v>948220</v>
      </c>
      <c r="S1064" s="21">
        <v>0</v>
      </c>
      <c r="T1064" s="3">
        <v>0</v>
      </c>
      <c r="U1064" s="3">
        <v>200000</v>
      </c>
    </row>
    <row r="1065" spans="1:22" ht="21.95" customHeight="1">
      <c r="A1065" s="52" t="s">
        <v>1887</v>
      </c>
      <c r="B1065" s="24" t="s">
        <v>786</v>
      </c>
      <c r="C1065" s="1">
        <f t="shared" si="274"/>
        <v>3888800</v>
      </c>
      <c r="D1065" s="21">
        <f t="shared" si="273"/>
        <v>0</v>
      </c>
      <c r="E1065" s="21">
        <v>0</v>
      </c>
      <c r="F1065" s="21">
        <v>0</v>
      </c>
      <c r="G1065" s="21">
        <v>0</v>
      </c>
      <c r="H1065" s="21">
        <v>0</v>
      </c>
      <c r="I1065" s="21">
        <v>0</v>
      </c>
      <c r="J1065" s="21">
        <v>0</v>
      </c>
      <c r="K1065" s="40">
        <v>0</v>
      </c>
      <c r="L1065" s="21">
        <v>0</v>
      </c>
      <c r="M1065" s="3">
        <v>696</v>
      </c>
      <c r="N1065" s="21">
        <v>3688800</v>
      </c>
      <c r="O1065" s="21">
        <v>0</v>
      </c>
      <c r="P1065" s="21">
        <v>0</v>
      </c>
      <c r="Q1065" s="21">
        <v>0</v>
      </c>
      <c r="R1065" s="21">
        <v>0</v>
      </c>
      <c r="S1065" s="21">
        <v>0</v>
      </c>
      <c r="T1065" s="3">
        <v>0</v>
      </c>
      <c r="U1065" s="21">
        <v>200000</v>
      </c>
    </row>
    <row r="1066" spans="1:22" ht="21.95" customHeight="1">
      <c r="A1066" s="52" t="s">
        <v>1888</v>
      </c>
      <c r="B1066" s="24" t="s">
        <v>439</v>
      </c>
      <c r="C1066" s="1">
        <f t="shared" si="274"/>
        <v>4134190</v>
      </c>
      <c r="D1066" s="21">
        <f t="shared" si="273"/>
        <v>0</v>
      </c>
      <c r="E1066" s="21">
        <v>0</v>
      </c>
      <c r="F1066" s="21">
        <v>0</v>
      </c>
      <c r="G1066" s="21">
        <v>0</v>
      </c>
      <c r="H1066" s="21">
        <v>0</v>
      </c>
      <c r="I1066" s="21">
        <v>0</v>
      </c>
      <c r="J1066" s="21">
        <v>0</v>
      </c>
      <c r="K1066" s="40">
        <v>0</v>
      </c>
      <c r="L1066" s="21">
        <v>0</v>
      </c>
      <c r="M1066" s="21">
        <v>742.3</v>
      </c>
      <c r="N1066" s="21">
        <v>3934190</v>
      </c>
      <c r="O1066" s="21">
        <v>0</v>
      </c>
      <c r="P1066" s="21">
        <v>0</v>
      </c>
      <c r="Q1066" s="21">
        <v>0</v>
      </c>
      <c r="R1066" s="21">
        <v>0</v>
      </c>
      <c r="S1066" s="21">
        <v>0</v>
      </c>
      <c r="T1066" s="3">
        <v>0</v>
      </c>
      <c r="U1066" s="21">
        <v>200000</v>
      </c>
    </row>
    <row r="1067" spans="1:22" ht="21.95" customHeight="1">
      <c r="A1067" s="52" t="s">
        <v>1889</v>
      </c>
      <c r="B1067" s="24" t="s">
        <v>440</v>
      </c>
      <c r="C1067" s="1">
        <f t="shared" si="274"/>
        <v>2775800</v>
      </c>
      <c r="D1067" s="21">
        <f t="shared" si="273"/>
        <v>0</v>
      </c>
      <c r="E1067" s="21">
        <v>0</v>
      </c>
      <c r="F1067" s="21">
        <v>0</v>
      </c>
      <c r="G1067" s="21">
        <v>0</v>
      </c>
      <c r="H1067" s="21">
        <v>0</v>
      </c>
      <c r="I1067" s="21">
        <v>0</v>
      </c>
      <c r="J1067" s="21">
        <v>0</v>
      </c>
      <c r="K1067" s="40">
        <v>0</v>
      </c>
      <c r="L1067" s="21">
        <v>0</v>
      </c>
      <c r="M1067" s="21">
        <v>486</v>
      </c>
      <c r="N1067" s="21">
        <v>2575800</v>
      </c>
      <c r="O1067" s="21">
        <v>0</v>
      </c>
      <c r="P1067" s="21">
        <v>0</v>
      </c>
      <c r="Q1067" s="21">
        <v>0</v>
      </c>
      <c r="R1067" s="21">
        <v>0</v>
      </c>
      <c r="S1067" s="21">
        <v>0</v>
      </c>
      <c r="T1067" s="3">
        <v>0</v>
      </c>
      <c r="U1067" s="21">
        <v>200000</v>
      </c>
    </row>
    <row r="1068" spans="1:22" ht="21.95" customHeight="1">
      <c r="A1068" s="52" t="s">
        <v>1890</v>
      </c>
      <c r="B1068" s="24" t="s">
        <v>698</v>
      </c>
      <c r="C1068" s="1">
        <f t="shared" si="274"/>
        <v>3088500</v>
      </c>
      <c r="D1068" s="21">
        <f t="shared" si="273"/>
        <v>0</v>
      </c>
      <c r="E1068" s="21">
        <v>0</v>
      </c>
      <c r="F1068" s="21">
        <v>0</v>
      </c>
      <c r="G1068" s="21">
        <v>0</v>
      </c>
      <c r="H1068" s="21">
        <v>0</v>
      </c>
      <c r="I1068" s="21">
        <v>0</v>
      </c>
      <c r="J1068" s="21">
        <v>0</v>
      </c>
      <c r="K1068" s="40">
        <v>0</v>
      </c>
      <c r="L1068" s="21">
        <v>0</v>
      </c>
      <c r="M1068" s="21">
        <v>545</v>
      </c>
      <c r="N1068" s="23">
        <v>2888500</v>
      </c>
      <c r="O1068" s="21">
        <v>0</v>
      </c>
      <c r="P1068" s="21">
        <v>0</v>
      </c>
      <c r="Q1068" s="21">
        <v>0</v>
      </c>
      <c r="R1068" s="21">
        <v>0</v>
      </c>
      <c r="S1068" s="21">
        <v>0</v>
      </c>
      <c r="T1068" s="3">
        <v>0</v>
      </c>
      <c r="U1068" s="21">
        <v>200000</v>
      </c>
    </row>
    <row r="1069" spans="1:22" ht="42.95" customHeight="1">
      <c r="A1069" s="55" t="s">
        <v>314</v>
      </c>
      <c r="B1069" s="55"/>
      <c r="C1069" s="1">
        <f t="shared" si="274"/>
        <v>8163670.9000000004</v>
      </c>
      <c r="D1069" s="1">
        <f t="shared" ref="D1069:U1069" si="275">SUM(D1070)</f>
        <v>4364655</v>
      </c>
      <c r="E1069" s="1">
        <f t="shared" si="275"/>
        <v>650055</v>
      </c>
      <c r="F1069" s="1">
        <f t="shared" si="275"/>
        <v>1485840</v>
      </c>
      <c r="G1069" s="1">
        <f t="shared" si="275"/>
        <v>557190</v>
      </c>
      <c r="H1069" s="1">
        <f t="shared" si="275"/>
        <v>928650</v>
      </c>
      <c r="I1069" s="1">
        <f t="shared" si="275"/>
        <v>742920</v>
      </c>
      <c r="J1069" s="1">
        <f t="shared" si="275"/>
        <v>0</v>
      </c>
      <c r="K1069" s="42">
        <f t="shared" si="275"/>
        <v>0</v>
      </c>
      <c r="L1069" s="1">
        <f t="shared" si="275"/>
        <v>0</v>
      </c>
      <c r="M1069" s="1">
        <f t="shared" si="275"/>
        <v>0</v>
      </c>
      <c r="N1069" s="1">
        <f t="shared" si="275"/>
        <v>0</v>
      </c>
      <c r="O1069" s="1">
        <f t="shared" si="275"/>
        <v>0</v>
      </c>
      <c r="P1069" s="1">
        <f t="shared" si="275"/>
        <v>0</v>
      </c>
      <c r="Q1069" s="1">
        <f t="shared" si="275"/>
        <v>1381.58</v>
      </c>
      <c r="R1069" s="1">
        <f t="shared" si="275"/>
        <v>3599015.9</v>
      </c>
      <c r="S1069" s="1">
        <f t="shared" si="275"/>
        <v>0</v>
      </c>
      <c r="T1069" s="1">
        <f t="shared" si="275"/>
        <v>0</v>
      </c>
      <c r="U1069" s="1">
        <f t="shared" si="275"/>
        <v>200000</v>
      </c>
    </row>
    <row r="1070" spans="1:22" ht="23.1" customHeight="1">
      <c r="A1070" s="17" t="s">
        <v>1891</v>
      </c>
      <c r="B1070" s="24" t="s">
        <v>315</v>
      </c>
      <c r="C1070" s="1">
        <f t="shared" si="274"/>
        <v>8163670.9000000004</v>
      </c>
      <c r="D1070" s="21">
        <f t="shared" ref="D1070" si="276">SUM(E1070:J1070)</f>
        <v>4364655</v>
      </c>
      <c r="E1070" s="3">
        <f>350*1857.3</f>
        <v>650055</v>
      </c>
      <c r="F1070" s="3">
        <f>800*1857.3</f>
        <v>1485840</v>
      </c>
      <c r="G1070" s="3">
        <f>300*1857.3</f>
        <v>557190</v>
      </c>
      <c r="H1070" s="3">
        <f>500*1857.3</f>
        <v>928650</v>
      </c>
      <c r="I1070" s="3">
        <f>400*1857.3</f>
        <v>742920</v>
      </c>
      <c r="J1070" s="3">
        <f>350*0</f>
        <v>0</v>
      </c>
      <c r="K1070" s="5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0</v>
      </c>
      <c r="Q1070" s="3">
        <v>1381.58</v>
      </c>
      <c r="R1070" s="3">
        <v>3599015.9</v>
      </c>
      <c r="S1070" s="3">
        <v>0</v>
      </c>
      <c r="T1070" s="3">
        <v>0</v>
      </c>
      <c r="U1070" s="3">
        <v>200000</v>
      </c>
    </row>
    <row r="1071" spans="1:22" ht="42.95" customHeight="1">
      <c r="A1071" s="55" t="s">
        <v>289</v>
      </c>
      <c r="B1071" s="55"/>
      <c r="C1071" s="1">
        <f t="shared" si="274"/>
        <v>4266387.5</v>
      </c>
      <c r="D1071" s="1">
        <f t="shared" ref="D1071:U1071" si="277">SUM(D1072)</f>
        <v>772560</v>
      </c>
      <c r="E1071" s="1">
        <f t="shared" si="277"/>
        <v>146160</v>
      </c>
      <c r="F1071" s="1">
        <f t="shared" si="277"/>
        <v>334080</v>
      </c>
      <c r="G1071" s="1">
        <f t="shared" si="277"/>
        <v>125280</v>
      </c>
      <c r="H1071" s="1">
        <f t="shared" si="277"/>
        <v>0</v>
      </c>
      <c r="I1071" s="1">
        <f t="shared" si="277"/>
        <v>167040</v>
      </c>
      <c r="J1071" s="1">
        <f t="shared" si="277"/>
        <v>0</v>
      </c>
      <c r="K1071" s="42">
        <f t="shared" si="277"/>
        <v>0</v>
      </c>
      <c r="L1071" s="1">
        <f t="shared" si="277"/>
        <v>0</v>
      </c>
      <c r="M1071" s="1">
        <f t="shared" si="277"/>
        <v>432</v>
      </c>
      <c r="N1071" s="1">
        <f t="shared" si="277"/>
        <v>2289600</v>
      </c>
      <c r="O1071" s="1">
        <f t="shared" si="277"/>
        <v>0</v>
      </c>
      <c r="P1071" s="1">
        <f t="shared" si="277"/>
        <v>0</v>
      </c>
      <c r="Q1071" s="1">
        <f t="shared" si="277"/>
        <v>385.5</v>
      </c>
      <c r="R1071" s="1">
        <f t="shared" si="277"/>
        <v>1004227.5</v>
      </c>
      <c r="S1071" s="1">
        <f t="shared" si="277"/>
        <v>0</v>
      </c>
      <c r="T1071" s="1">
        <f t="shared" si="277"/>
        <v>0</v>
      </c>
      <c r="U1071" s="1">
        <f t="shared" si="277"/>
        <v>200000</v>
      </c>
    </row>
    <row r="1072" spans="1:22" ht="23.1" customHeight="1">
      <c r="A1072" s="19" t="s">
        <v>1892</v>
      </c>
      <c r="B1072" s="24" t="s">
        <v>313</v>
      </c>
      <c r="C1072" s="1">
        <f t="shared" si="274"/>
        <v>4266387.5</v>
      </c>
      <c r="D1072" s="21">
        <f t="shared" ref="D1072" si="278">SUM(E1072:J1072)</f>
        <v>772560</v>
      </c>
      <c r="E1072" s="21">
        <f>350*417.6</f>
        <v>146160</v>
      </c>
      <c r="F1072" s="21">
        <f>800*417.6</f>
        <v>334080</v>
      </c>
      <c r="G1072" s="21">
        <f>300*417.6</f>
        <v>125280</v>
      </c>
      <c r="H1072" s="21">
        <f>500*0</f>
        <v>0</v>
      </c>
      <c r="I1072" s="21">
        <f>400*417.6</f>
        <v>167040</v>
      </c>
      <c r="J1072" s="21">
        <f>350*0</f>
        <v>0</v>
      </c>
      <c r="K1072" s="40">
        <v>0</v>
      </c>
      <c r="L1072" s="21">
        <v>0</v>
      </c>
      <c r="M1072" s="21">
        <v>432</v>
      </c>
      <c r="N1072" s="21">
        <v>2289600</v>
      </c>
      <c r="O1072" s="21">
        <v>0</v>
      </c>
      <c r="P1072" s="21">
        <v>0</v>
      </c>
      <c r="Q1072" s="21">
        <v>385.5</v>
      </c>
      <c r="R1072" s="21">
        <v>1004227.5</v>
      </c>
      <c r="S1072" s="21">
        <v>0</v>
      </c>
      <c r="T1072" s="21">
        <v>0</v>
      </c>
      <c r="U1072" s="21">
        <v>200000</v>
      </c>
    </row>
    <row r="1073" spans="1:22" ht="42.95" customHeight="1">
      <c r="A1073" s="55" t="s">
        <v>1936</v>
      </c>
      <c r="B1073" s="55"/>
      <c r="C1073" s="1">
        <f t="shared" si="274"/>
        <v>7584140</v>
      </c>
      <c r="D1073" s="1">
        <f t="shared" ref="D1073:U1073" si="279">SUM(D1074)</f>
        <v>7484140</v>
      </c>
      <c r="E1073" s="1">
        <f t="shared" si="279"/>
        <v>0</v>
      </c>
      <c r="F1073" s="1">
        <f t="shared" si="279"/>
        <v>2920640</v>
      </c>
      <c r="G1073" s="1">
        <f t="shared" si="279"/>
        <v>1277780</v>
      </c>
      <c r="H1073" s="1">
        <f t="shared" si="279"/>
        <v>1825400</v>
      </c>
      <c r="I1073" s="1">
        <f t="shared" si="279"/>
        <v>1460320</v>
      </c>
      <c r="J1073" s="1">
        <f t="shared" si="279"/>
        <v>0</v>
      </c>
      <c r="K1073" s="42">
        <f t="shared" si="279"/>
        <v>0</v>
      </c>
      <c r="L1073" s="1">
        <f t="shared" si="279"/>
        <v>0</v>
      </c>
      <c r="M1073" s="1">
        <f t="shared" si="279"/>
        <v>0</v>
      </c>
      <c r="N1073" s="1">
        <f t="shared" si="279"/>
        <v>0</v>
      </c>
      <c r="O1073" s="1">
        <f t="shared" si="279"/>
        <v>0</v>
      </c>
      <c r="P1073" s="1">
        <f t="shared" si="279"/>
        <v>0</v>
      </c>
      <c r="Q1073" s="1">
        <f t="shared" si="279"/>
        <v>0</v>
      </c>
      <c r="R1073" s="1">
        <f t="shared" si="279"/>
        <v>0</v>
      </c>
      <c r="S1073" s="1">
        <f t="shared" si="279"/>
        <v>0</v>
      </c>
      <c r="T1073" s="1">
        <f t="shared" si="279"/>
        <v>0</v>
      </c>
      <c r="U1073" s="1">
        <f t="shared" si="279"/>
        <v>100000</v>
      </c>
    </row>
    <row r="1074" spans="1:22" ht="23.1" customHeight="1">
      <c r="A1074" s="19" t="s">
        <v>1893</v>
      </c>
      <c r="B1074" s="24" t="s">
        <v>1937</v>
      </c>
      <c r="C1074" s="1">
        <f t="shared" si="274"/>
        <v>7584140</v>
      </c>
      <c r="D1074" s="21">
        <f t="shared" ref="D1074" si="280">SUM(E1074:J1074)</f>
        <v>7484140</v>
      </c>
      <c r="E1074" s="21">
        <f>350*0</f>
        <v>0</v>
      </c>
      <c r="F1074" s="21">
        <f>800*3650.8</f>
        <v>2920640</v>
      </c>
      <c r="G1074" s="21">
        <f>350*3650.8</f>
        <v>1277780</v>
      </c>
      <c r="H1074" s="21">
        <f>500*3650.8</f>
        <v>1825400</v>
      </c>
      <c r="I1074" s="21">
        <f>400*3650.8</f>
        <v>1460320</v>
      </c>
      <c r="J1074" s="21">
        <v>0</v>
      </c>
      <c r="K1074" s="40">
        <v>0</v>
      </c>
      <c r="L1074" s="21">
        <v>0</v>
      </c>
      <c r="M1074" s="21">
        <v>0</v>
      </c>
      <c r="N1074" s="21">
        <v>0</v>
      </c>
      <c r="O1074" s="21">
        <v>0</v>
      </c>
      <c r="P1074" s="21">
        <v>0</v>
      </c>
      <c r="Q1074" s="21">
        <v>0</v>
      </c>
      <c r="R1074" s="21">
        <v>0</v>
      </c>
      <c r="S1074" s="21">
        <v>0</v>
      </c>
      <c r="T1074" s="21">
        <v>0</v>
      </c>
      <c r="U1074" s="21">
        <v>100000</v>
      </c>
    </row>
    <row r="1075" spans="1:22" ht="42.95" customHeight="1">
      <c r="A1075" s="55" t="s">
        <v>292</v>
      </c>
      <c r="B1075" s="55"/>
      <c r="C1075" s="1">
        <f t="shared" si="274"/>
        <v>7069230.2000000002</v>
      </c>
      <c r="D1075" s="1">
        <f t="shared" ref="D1075:U1075" si="281">SUM(D1076:D1077)</f>
        <v>1578480</v>
      </c>
      <c r="E1075" s="1">
        <f t="shared" si="281"/>
        <v>230195</v>
      </c>
      <c r="F1075" s="1">
        <f t="shared" si="281"/>
        <v>526160</v>
      </c>
      <c r="G1075" s="1">
        <f t="shared" si="281"/>
        <v>230195</v>
      </c>
      <c r="H1075" s="1">
        <f t="shared" si="281"/>
        <v>328850</v>
      </c>
      <c r="I1075" s="1">
        <f t="shared" si="281"/>
        <v>263080</v>
      </c>
      <c r="J1075" s="1">
        <f t="shared" si="281"/>
        <v>0</v>
      </c>
      <c r="K1075" s="42">
        <f t="shared" si="281"/>
        <v>0</v>
      </c>
      <c r="L1075" s="1">
        <f t="shared" si="281"/>
        <v>0</v>
      </c>
      <c r="M1075" s="1">
        <f t="shared" si="281"/>
        <v>657.7</v>
      </c>
      <c r="N1075" s="1">
        <f t="shared" si="281"/>
        <v>3485810</v>
      </c>
      <c r="O1075" s="1">
        <f t="shared" si="281"/>
        <v>0</v>
      </c>
      <c r="P1075" s="1">
        <f t="shared" si="281"/>
        <v>0</v>
      </c>
      <c r="Q1075" s="1">
        <f t="shared" si="281"/>
        <v>616.1</v>
      </c>
      <c r="R1075" s="1">
        <f t="shared" si="281"/>
        <v>1604940.2</v>
      </c>
      <c r="S1075" s="1">
        <f t="shared" si="281"/>
        <v>0</v>
      </c>
      <c r="T1075" s="1">
        <f t="shared" si="281"/>
        <v>0</v>
      </c>
      <c r="U1075" s="1">
        <f t="shared" si="281"/>
        <v>400000</v>
      </c>
      <c r="V1075" s="13">
        <f>C1075</f>
        <v>7069230.2000000002</v>
      </c>
    </row>
    <row r="1076" spans="1:22" ht="23.1" customHeight="1">
      <c r="A1076" s="19" t="s">
        <v>1894</v>
      </c>
      <c r="B1076" s="24" t="s">
        <v>293</v>
      </c>
      <c r="C1076" s="1">
        <f t="shared" si="274"/>
        <v>3882745</v>
      </c>
      <c r="D1076" s="21">
        <f t="shared" ref="D1076:D1077" si="282">SUM(E1076:J1076)</f>
        <v>906720</v>
      </c>
      <c r="E1076" s="21">
        <f>350*377.8</f>
        <v>132230</v>
      </c>
      <c r="F1076" s="21">
        <f>800*377.8</f>
        <v>302240</v>
      </c>
      <c r="G1076" s="21">
        <f>350*377.8</f>
        <v>132230</v>
      </c>
      <c r="H1076" s="21">
        <f>500*377.8</f>
        <v>188900</v>
      </c>
      <c r="I1076" s="21">
        <f>400*377.8</f>
        <v>151120</v>
      </c>
      <c r="J1076" s="21">
        <v>0</v>
      </c>
      <c r="K1076" s="40">
        <v>0</v>
      </c>
      <c r="L1076" s="21">
        <v>0</v>
      </c>
      <c r="M1076" s="21">
        <v>377.8</v>
      </c>
      <c r="N1076" s="21">
        <v>2002340</v>
      </c>
      <c r="O1076" s="21">
        <v>0</v>
      </c>
      <c r="P1076" s="21">
        <v>0</v>
      </c>
      <c r="Q1076" s="21">
        <v>297</v>
      </c>
      <c r="R1076" s="21">
        <v>773685</v>
      </c>
      <c r="S1076" s="21">
        <v>0</v>
      </c>
      <c r="T1076" s="21">
        <v>0</v>
      </c>
      <c r="U1076" s="21">
        <v>200000</v>
      </c>
    </row>
    <row r="1077" spans="1:22" ht="23.1" customHeight="1">
      <c r="A1077" s="19" t="s">
        <v>1895</v>
      </c>
      <c r="B1077" s="24" t="s">
        <v>294</v>
      </c>
      <c r="C1077" s="1">
        <f t="shared" si="274"/>
        <v>3186485.2</v>
      </c>
      <c r="D1077" s="21">
        <f t="shared" si="282"/>
        <v>671760</v>
      </c>
      <c r="E1077" s="21">
        <f>350*279.9</f>
        <v>97964.999999999985</v>
      </c>
      <c r="F1077" s="21">
        <f>800*279.9</f>
        <v>223919.99999999997</v>
      </c>
      <c r="G1077" s="21">
        <f>350*279.9</f>
        <v>97964.999999999985</v>
      </c>
      <c r="H1077" s="21">
        <f>500*279.9</f>
        <v>139950</v>
      </c>
      <c r="I1077" s="21">
        <f>400*279.9</f>
        <v>111959.99999999999</v>
      </c>
      <c r="J1077" s="21">
        <v>0</v>
      </c>
      <c r="K1077" s="40">
        <v>0</v>
      </c>
      <c r="L1077" s="21">
        <v>0</v>
      </c>
      <c r="M1077" s="21">
        <v>279.89999999999998</v>
      </c>
      <c r="N1077" s="21">
        <v>1483470</v>
      </c>
      <c r="O1077" s="21">
        <v>0</v>
      </c>
      <c r="P1077" s="21">
        <v>0</v>
      </c>
      <c r="Q1077" s="21">
        <v>319.10000000000002</v>
      </c>
      <c r="R1077" s="21">
        <v>831255.2</v>
      </c>
      <c r="S1077" s="21">
        <v>0</v>
      </c>
      <c r="T1077" s="21">
        <v>0</v>
      </c>
      <c r="U1077" s="21">
        <v>200000</v>
      </c>
    </row>
    <row r="1078" spans="1:22" ht="42.95" customHeight="1">
      <c r="A1078" s="55" t="s">
        <v>295</v>
      </c>
      <c r="B1078" s="55"/>
      <c r="C1078" s="1">
        <f t="shared" si="274"/>
        <v>7168710</v>
      </c>
      <c r="D1078" s="1">
        <f t="shared" ref="D1078:U1078" si="283">SUM(D1079:D1081)</f>
        <v>1014000</v>
      </c>
      <c r="E1078" s="1">
        <f t="shared" si="283"/>
        <v>147875</v>
      </c>
      <c r="F1078" s="1">
        <f t="shared" si="283"/>
        <v>338000</v>
      </c>
      <c r="G1078" s="1">
        <f t="shared" si="283"/>
        <v>147875</v>
      </c>
      <c r="H1078" s="1">
        <f t="shared" si="283"/>
        <v>211250</v>
      </c>
      <c r="I1078" s="1">
        <f t="shared" si="283"/>
        <v>169000</v>
      </c>
      <c r="J1078" s="1">
        <f t="shared" si="283"/>
        <v>0</v>
      </c>
      <c r="K1078" s="42">
        <f t="shared" si="283"/>
        <v>0</v>
      </c>
      <c r="L1078" s="1">
        <f t="shared" si="283"/>
        <v>0</v>
      </c>
      <c r="M1078" s="1">
        <f t="shared" si="283"/>
        <v>866.2</v>
      </c>
      <c r="N1078" s="1">
        <f t="shared" si="283"/>
        <v>4590860</v>
      </c>
      <c r="O1078" s="1">
        <f t="shared" si="283"/>
        <v>0</v>
      </c>
      <c r="P1078" s="1">
        <f t="shared" si="283"/>
        <v>0</v>
      </c>
      <c r="Q1078" s="1">
        <f t="shared" si="283"/>
        <v>370</v>
      </c>
      <c r="R1078" s="1">
        <f t="shared" si="283"/>
        <v>963850</v>
      </c>
      <c r="S1078" s="1">
        <f t="shared" si="283"/>
        <v>0</v>
      </c>
      <c r="T1078" s="1">
        <f t="shared" si="283"/>
        <v>0</v>
      </c>
      <c r="U1078" s="1">
        <f t="shared" si="283"/>
        <v>600000</v>
      </c>
    </row>
    <row r="1079" spans="1:22" ht="23.1" customHeight="1">
      <c r="A1079" s="19" t="s">
        <v>1896</v>
      </c>
      <c r="B1079" s="24" t="s">
        <v>317</v>
      </c>
      <c r="C1079" s="1">
        <f t="shared" si="274"/>
        <v>1716860</v>
      </c>
      <c r="D1079" s="21">
        <f t="shared" ref="D1079:D1081" si="284">SUM(E1079:J1079)</f>
        <v>0</v>
      </c>
      <c r="E1079" s="21">
        <v>0</v>
      </c>
      <c r="F1079" s="21">
        <v>0</v>
      </c>
      <c r="G1079" s="21">
        <v>0</v>
      </c>
      <c r="H1079" s="21">
        <v>0</v>
      </c>
      <c r="I1079" s="21">
        <v>0</v>
      </c>
      <c r="J1079" s="21">
        <v>0</v>
      </c>
      <c r="K1079" s="40">
        <v>0</v>
      </c>
      <c r="L1079" s="21">
        <v>0</v>
      </c>
      <c r="M1079" s="21">
        <v>286.2</v>
      </c>
      <c r="N1079" s="21">
        <v>1516860</v>
      </c>
      <c r="O1079" s="21">
        <v>0</v>
      </c>
      <c r="P1079" s="21">
        <v>0</v>
      </c>
      <c r="Q1079" s="21">
        <v>0</v>
      </c>
      <c r="R1079" s="21">
        <v>0</v>
      </c>
      <c r="S1079" s="21">
        <v>0</v>
      </c>
      <c r="T1079" s="21">
        <v>0</v>
      </c>
      <c r="U1079" s="21">
        <v>200000</v>
      </c>
    </row>
    <row r="1080" spans="1:22" ht="23.1" customHeight="1">
      <c r="A1080" s="19" t="s">
        <v>1897</v>
      </c>
      <c r="B1080" s="24" t="s">
        <v>855</v>
      </c>
      <c r="C1080" s="1">
        <f t="shared" si="274"/>
        <v>3714850</v>
      </c>
      <c r="D1080" s="21">
        <f t="shared" si="284"/>
        <v>1014000</v>
      </c>
      <c r="E1080" s="21">
        <f>350*422.5</f>
        <v>147875</v>
      </c>
      <c r="F1080" s="21">
        <f>800*422.5</f>
        <v>338000</v>
      </c>
      <c r="G1080" s="21">
        <f>350*422.5</f>
        <v>147875</v>
      </c>
      <c r="H1080" s="21">
        <f>500*422.5</f>
        <v>211250</v>
      </c>
      <c r="I1080" s="21">
        <f>400*422.5</f>
        <v>169000</v>
      </c>
      <c r="J1080" s="21">
        <v>0</v>
      </c>
      <c r="K1080" s="40">
        <v>0</v>
      </c>
      <c r="L1080" s="21">
        <v>0</v>
      </c>
      <c r="M1080" s="21">
        <v>290</v>
      </c>
      <c r="N1080" s="21">
        <v>1537000</v>
      </c>
      <c r="O1080" s="21">
        <v>0</v>
      </c>
      <c r="P1080" s="21">
        <v>0</v>
      </c>
      <c r="Q1080" s="21">
        <v>370</v>
      </c>
      <c r="R1080" s="21">
        <v>963850</v>
      </c>
      <c r="S1080" s="21">
        <v>0</v>
      </c>
      <c r="T1080" s="21">
        <v>0</v>
      </c>
      <c r="U1080" s="21">
        <v>200000</v>
      </c>
    </row>
    <row r="1081" spans="1:22" ht="23.1" customHeight="1">
      <c r="A1081" s="19" t="s">
        <v>1898</v>
      </c>
      <c r="B1081" s="24" t="s">
        <v>856</v>
      </c>
      <c r="C1081" s="1">
        <f t="shared" si="274"/>
        <v>1737000</v>
      </c>
      <c r="D1081" s="21">
        <f t="shared" si="284"/>
        <v>0</v>
      </c>
      <c r="E1081" s="21">
        <v>0</v>
      </c>
      <c r="F1081" s="21">
        <v>0</v>
      </c>
      <c r="G1081" s="21">
        <v>0</v>
      </c>
      <c r="H1081" s="21">
        <v>0</v>
      </c>
      <c r="I1081" s="21">
        <v>0</v>
      </c>
      <c r="J1081" s="21">
        <v>0</v>
      </c>
      <c r="K1081" s="40">
        <v>0</v>
      </c>
      <c r="L1081" s="21">
        <v>0</v>
      </c>
      <c r="M1081" s="21">
        <v>290</v>
      </c>
      <c r="N1081" s="21">
        <v>1537000</v>
      </c>
      <c r="O1081" s="21">
        <v>0</v>
      </c>
      <c r="P1081" s="21">
        <v>0</v>
      </c>
      <c r="Q1081" s="21">
        <v>0</v>
      </c>
      <c r="R1081" s="21">
        <v>0</v>
      </c>
      <c r="S1081" s="21">
        <v>0</v>
      </c>
      <c r="T1081" s="21">
        <v>0</v>
      </c>
      <c r="U1081" s="21">
        <v>200000</v>
      </c>
    </row>
    <row r="1082" spans="1:22" ht="42.95" customHeight="1">
      <c r="A1082" s="55" t="s">
        <v>300</v>
      </c>
      <c r="B1082" s="55"/>
      <c r="C1082" s="1">
        <f t="shared" si="274"/>
        <v>14606687.5</v>
      </c>
      <c r="D1082" s="1">
        <f t="shared" ref="D1082:U1082" si="285">SUM(D1083:D1085)</f>
        <v>1741130</v>
      </c>
      <c r="E1082" s="1">
        <f t="shared" si="285"/>
        <v>281820</v>
      </c>
      <c r="F1082" s="1">
        <f t="shared" si="285"/>
        <v>644160</v>
      </c>
      <c r="G1082" s="1">
        <f t="shared" si="285"/>
        <v>281820</v>
      </c>
      <c r="H1082" s="1">
        <f t="shared" si="285"/>
        <v>211250</v>
      </c>
      <c r="I1082" s="1">
        <f t="shared" si="285"/>
        <v>322080</v>
      </c>
      <c r="J1082" s="1">
        <f t="shared" si="285"/>
        <v>0</v>
      </c>
      <c r="K1082" s="42">
        <f t="shared" si="285"/>
        <v>0</v>
      </c>
      <c r="L1082" s="1">
        <f t="shared" si="285"/>
        <v>0</v>
      </c>
      <c r="M1082" s="1">
        <f t="shared" si="285"/>
        <v>1070</v>
      </c>
      <c r="N1082" s="1">
        <f t="shared" si="285"/>
        <v>5671000</v>
      </c>
      <c r="O1082" s="1">
        <f t="shared" si="285"/>
        <v>0</v>
      </c>
      <c r="P1082" s="1">
        <f t="shared" si="285"/>
        <v>0</v>
      </c>
      <c r="Q1082" s="1">
        <f t="shared" si="285"/>
        <v>2531.4</v>
      </c>
      <c r="R1082" s="1">
        <f t="shared" si="285"/>
        <v>6594557.5</v>
      </c>
      <c r="S1082" s="1">
        <f t="shared" si="285"/>
        <v>0</v>
      </c>
      <c r="T1082" s="1">
        <f t="shared" si="285"/>
        <v>0</v>
      </c>
      <c r="U1082" s="1">
        <f t="shared" si="285"/>
        <v>600000</v>
      </c>
    </row>
    <row r="1083" spans="1:22" ht="23.1" customHeight="1">
      <c r="A1083" s="19" t="s">
        <v>1899</v>
      </c>
      <c r="B1083" s="24" t="s">
        <v>303</v>
      </c>
      <c r="C1083" s="1">
        <f t="shared" si="274"/>
        <v>3928965.5</v>
      </c>
      <c r="D1083" s="21">
        <f t="shared" ref="D1083:D1085" si="286">SUM(E1083:J1083)</f>
        <v>0</v>
      </c>
      <c r="E1083" s="21">
        <v>0</v>
      </c>
      <c r="F1083" s="21">
        <v>0</v>
      </c>
      <c r="G1083" s="21">
        <v>0</v>
      </c>
      <c r="H1083" s="21">
        <v>0</v>
      </c>
      <c r="I1083" s="21">
        <v>0</v>
      </c>
      <c r="J1083" s="21">
        <v>0</v>
      </c>
      <c r="K1083" s="40">
        <v>0</v>
      </c>
      <c r="L1083" s="21">
        <v>0</v>
      </c>
      <c r="M1083" s="21">
        <v>300</v>
      </c>
      <c r="N1083" s="21">
        <v>1590000</v>
      </c>
      <c r="O1083" s="21">
        <v>0</v>
      </c>
      <c r="P1083" s="21">
        <v>0</v>
      </c>
      <c r="Q1083" s="21">
        <v>821</v>
      </c>
      <c r="R1083" s="21">
        <v>2138965.5</v>
      </c>
      <c r="S1083" s="21">
        <v>0</v>
      </c>
      <c r="T1083" s="21">
        <v>0</v>
      </c>
      <c r="U1083" s="21">
        <v>200000</v>
      </c>
    </row>
    <row r="1084" spans="1:22" ht="23.1" customHeight="1">
      <c r="A1084" s="19" t="s">
        <v>1900</v>
      </c>
      <c r="B1084" s="24" t="s">
        <v>304</v>
      </c>
      <c r="C1084" s="1">
        <f t="shared" si="274"/>
        <v>5004600</v>
      </c>
      <c r="D1084" s="21">
        <f t="shared" si="286"/>
        <v>1014000</v>
      </c>
      <c r="E1084" s="21">
        <f>350*422.5</f>
        <v>147875</v>
      </c>
      <c r="F1084" s="21">
        <f>800*422.5</f>
        <v>338000</v>
      </c>
      <c r="G1084" s="21">
        <f>350*422.5</f>
        <v>147875</v>
      </c>
      <c r="H1084" s="21">
        <f>500*422.5</f>
        <v>211250</v>
      </c>
      <c r="I1084" s="21">
        <f>400*422.5</f>
        <v>169000</v>
      </c>
      <c r="J1084" s="21">
        <v>0</v>
      </c>
      <c r="K1084" s="40">
        <v>0</v>
      </c>
      <c r="L1084" s="21">
        <v>0</v>
      </c>
      <c r="M1084" s="21">
        <v>322</v>
      </c>
      <c r="N1084" s="21">
        <v>1706600</v>
      </c>
      <c r="O1084" s="21">
        <v>0</v>
      </c>
      <c r="P1084" s="21">
        <v>0</v>
      </c>
      <c r="Q1084" s="21">
        <v>800</v>
      </c>
      <c r="R1084" s="21">
        <v>2084000</v>
      </c>
      <c r="S1084" s="21">
        <v>0</v>
      </c>
      <c r="T1084" s="21">
        <v>0</v>
      </c>
      <c r="U1084" s="21">
        <v>200000</v>
      </c>
    </row>
    <row r="1085" spans="1:22" ht="23.1" customHeight="1">
      <c r="A1085" s="19" t="s">
        <v>1901</v>
      </c>
      <c r="B1085" s="24" t="s">
        <v>309</v>
      </c>
      <c r="C1085" s="1">
        <f t="shared" si="274"/>
        <v>5673122</v>
      </c>
      <c r="D1085" s="21">
        <f t="shared" si="286"/>
        <v>727130</v>
      </c>
      <c r="E1085" s="21">
        <f>350*382.7</f>
        <v>133945</v>
      </c>
      <c r="F1085" s="21">
        <f>800*382.7</f>
        <v>306160</v>
      </c>
      <c r="G1085" s="21">
        <f>350*382.7</f>
        <v>133945</v>
      </c>
      <c r="H1085" s="21">
        <f>500*0</f>
        <v>0</v>
      </c>
      <c r="I1085" s="21">
        <f>400*382.7</f>
        <v>153080</v>
      </c>
      <c r="J1085" s="21">
        <v>0</v>
      </c>
      <c r="K1085" s="40">
        <v>0</v>
      </c>
      <c r="L1085" s="21">
        <v>0</v>
      </c>
      <c r="M1085" s="21">
        <v>448</v>
      </c>
      <c r="N1085" s="21">
        <v>2374400</v>
      </c>
      <c r="O1085" s="21">
        <v>0</v>
      </c>
      <c r="P1085" s="21">
        <v>0</v>
      </c>
      <c r="Q1085" s="21">
        <v>910.4</v>
      </c>
      <c r="R1085" s="21">
        <v>2371592</v>
      </c>
      <c r="S1085" s="21">
        <v>0</v>
      </c>
      <c r="T1085" s="21">
        <v>0</v>
      </c>
      <c r="U1085" s="21">
        <v>200000</v>
      </c>
    </row>
    <row r="1086" spans="1:22" ht="42.95" customHeight="1">
      <c r="A1086" s="55" t="s">
        <v>323</v>
      </c>
      <c r="B1086" s="55"/>
      <c r="C1086" s="1">
        <f t="shared" si="274"/>
        <v>6412110</v>
      </c>
      <c r="D1086" s="1">
        <f t="shared" ref="D1086:U1086" si="287">SUM(D1087:D1088)</f>
        <v>267400</v>
      </c>
      <c r="E1086" s="1">
        <f t="shared" si="287"/>
        <v>267400</v>
      </c>
      <c r="F1086" s="1">
        <f t="shared" si="287"/>
        <v>0</v>
      </c>
      <c r="G1086" s="1">
        <f t="shared" si="287"/>
        <v>0</v>
      </c>
      <c r="H1086" s="1">
        <f t="shared" si="287"/>
        <v>0</v>
      </c>
      <c r="I1086" s="1">
        <f t="shared" si="287"/>
        <v>0</v>
      </c>
      <c r="J1086" s="1">
        <f t="shared" si="287"/>
        <v>0</v>
      </c>
      <c r="K1086" s="42">
        <f t="shared" si="287"/>
        <v>0</v>
      </c>
      <c r="L1086" s="1">
        <f t="shared" si="287"/>
        <v>0</v>
      </c>
      <c r="M1086" s="1">
        <f t="shared" si="287"/>
        <v>608</v>
      </c>
      <c r="N1086" s="1">
        <f t="shared" si="287"/>
        <v>3222400</v>
      </c>
      <c r="O1086" s="1">
        <f t="shared" si="287"/>
        <v>0</v>
      </c>
      <c r="P1086" s="1">
        <f t="shared" si="287"/>
        <v>0</v>
      </c>
      <c r="Q1086" s="1">
        <f t="shared" si="287"/>
        <v>882</v>
      </c>
      <c r="R1086" s="1">
        <f t="shared" si="287"/>
        <v>2297610</v>
      </c>
      <c r="S1086" s="1">
        <f t="shared" si="287"/>
        <v>224700</v>
      </c>
      <c r="T1086" s="1">
        <f t="shared" si="287"/>
        <v>0</v>
      </c>
      <c r="U1086" s="1">
        <f t="shared" si="287"/>
        <v>400000</v>
      </c>
    </row>
    <row r="1087" spans="1:22" ht="23.1" customHeight="1">
      <c r="A1087" s="37" t="s">
        <v>1902</v>
      </c>
      <c r="B1087" s="24" t="s">
        <v>326</v>
      </c>
      <c r="C1087" s="1">
        <f t="shared" si="274"/>
        <v>3030055</v>
      </c>
      <c r="D1087" s="21">
        <f t="shared" ref="D1087:D1088" si="288">SUM(E1087:J1087)</f>
        <v>107800</v>
      </c>
      <c r="E1087" s="3">
        <f>308*350</f>
        <v>107800</v>
      </c>
      <c r="F1087" s="3">
        <v>0</v>
      </c>
      <c r="G1087" s="3">
        <v>0</v>
      </c>
      <c r="H1087" s="3">
        <v>0</v>
      </c>
      <c r="I1087" s="3">
        <v>0</v>
      </c>
      <c r="J1087" s="3">
        <v>0</v>
      </c>
      <c r="K1087" s="5">
        <v>0</v>
      </c>
      <c r="L1087" s="3">
        <v>0</v>
      </c>
      <c r="M1087" s="3">
        <v>280</v>
      </c>
      <c r="N1087" s="3">
        <v>1484000</v>
      </c>
      <c r="O1087" s="3">
        <v>0</v>
      </c>
      <c r="P1087" s="3">
        <v>0</v>
      </c>
      <c r="Q1087" s="3">
        <v>431</v>
      </c>
      <c r="R1087" s="3">
        <v>1122755</v>
      </c>
      <c r="S1087" s="3">
        <v>115500</v>
      </c>
      <c r="T1087" s="3">
        <v>0</v>
      </c>
      <c r="U1087" s="3">
        <v>200000</v>
      </c>
      <c r="V1087" s="13"/>
    </row>
    <row r="1088" spans="1:22" ht="23.1" customHeight="1">
      <c r="A1088" s="37" t="s">
        <v>1903</v>
      </c>
      <c r="B1088" s="24" t="s">
        <v>328</v>
      </c>
      <c r="C1088" s="1">
        <f t="shared" si="274"/>
        <v>3382055</v>
      </c>
      <c r="D1088" s="21">
        <f t="shared" si="288"/>
        <v>159600</v>
      </c>
      <c r="E1088" s="3">
        <f>456*350</f>
        <v>159600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5">
        <v>0</v>
      </c>
      <c r="L1088" s="3">
        <v>0</v>
      </c>
      <c r="M1088" s="3">
        <v>328</v>
      </c>
      <c r="N1088" s="3">
        <v>1738400</v>
      </c>
      <c r="O1088" s="3">
        <v>0</v>
      </c>
      <c r="P1088" s="3">
        <v>0</v>
      </c>
      <c r="Q1088" s="3">
        <v>451</v>
      </c>
      <c r="R1088" s="3">
        <v>1174855</v>
      </c>
      <c r="S1088" s="3">
        <v>109200</v>
      </c>
      <c r="T1088" s="3">
        <v>0</v>
      </c>
      <c r="U1088" s="3">
        <v>200000</v>
      </c>
    </row>
    <row r="1089" spans="1:22" ht="42.95" customHeight="1">
      <c r="A1089" s="55" t="s">
        <v>329</v>
      </c>
      <c r="B1089" s="55"/>
      <c r="C1089" s="1">
        <f t="shared" si="274"/>
        <v>2713620</v>
      </c>
      <c r="D1089" s="1">
        <f t="shared" ref="D1089:U1089" si="289">SUM(D1090)</f>
        <v>0</v>
      </c>
      <c r="E1089" s="1">
        <f t="shared" si="289"/>
        <v>0</v>
      </c>
      <c r="F1089" s="1">
        <f t="shared" si="289"/>
        <v>0</v>
      </c>
      <c r="G1089" s="1">
        <f t="shared" si="289"/>
        <v>0</v>
      </c>
      <c r="H1089" s="1">
        <f t="shared" si="289"/>
        <v>0</v>
      </c>
      <c r="I1089" s="1">
        <f t="shared" si="289"/>
        <v>0</v>
      </c>
      <c r="J1089" s="1">
        <f t="shared" si="289"/>
        <v>0</v>
      </c>
      <c r="K1089" s="42">
        <f t="shared" si="289"/>
        <v>0</v>
      </c>
      <c r="L1089" s="1">
        <f t="shared" si="289"/>
        <v>0</v>
      </c>
      <c r="M1089" s="1">
        <f t="shared" si="289"/>
        <v>321.89999999999998</v>
      </c>
      <c r="N1089" s="1">
        <f t="shared" si="289"/>
        <v>1706070</v>
      </c>
      <c r="O1089" s="1">
        <f t="shared" si="289"/>
        <v>0</v>
      </c>
      <c r="P1089" s="1">
        <f t="shared" si="289"/>
        <v>0</v>
      </c>
      <c r="Q1089" s="1">
        <f t="shared" si="289"/>
        <v>310</v>
      </c>
      <c r="R1089" s="1">
        <f t="shared" si="289"/>
        <v>807550</v>
      </c>
      <c r="S1089" s="1">
        <f t="shared" si="289"/>
        <v>0</v>
      </c>
      <c r="T1089" s="1">
        <f t="shared" si="289"/>
        <v>0</v>
      </c>
      <c r="U1089" s="1">
        <f t="shared" si="289"/>
        <v>200000</v>
      </c>
      <c r="V1089" s="13">
        <f>C1089</f>
        <v>2713620</v>
      </c>
    </row>
    <row r="1090" spans="1:22" ht="23.1" customHeight="1">
      <c r="A1090" s="17" t="s">
        <v>1904</v>
      </c>
      <c r="B1090" s="24" t="s">
        <v>330</v>
      </c>
      <c r="C1090" s="1">
        <f t="shared" si="274"/>
        <v>2713620</v>
      </c>
      <c r="D1090" s="21">
        <f t="shared" ref="D1090" si="290">SUM(E1090:J1090)</f>
        <v>0</v>
      </c>
      <c r="E1090" s="21">
        <v>0</v>
      </c>
      <c r="F1090" s="21">
        <v>0</v>
      </c>
      <c r="G1090" s="21">
        <v>0</v>
      </c>
      <c r="H1090" s="21">
        <v>0</v>
      </c>
      <c r="I1090" s="21">
        <v>0</v>
      </c>
      <c r="J1090" s="21">
        <v>0</v>
      </c>
      <c r="K1090" s="40">
        <v>0</v>
      </c>
      <c r="L1090" s="21">
        <v>0</v>
      </c>
      <c r="M1090" s="21">
        <v>321.89999999999998</v>
      </c>
      <c r="N1090" s="21">
        <v>1706070</v>
      </c>
      <c r="O1090" s="21">
        <v>0</v>
      </c>
      <c r="P1090" s="21">
        <v>0</v>
      </c>
      <c r="Q1090" s="38">
        <v>310</v>
      </c>
      <c r="R1090" s="3">
        <v>807550</v>
      </c>
      <c r="S1090" s="21">
        <v>0</v>
      </c>
      <c r="T1090" s="21">
        <v>0</v>
      </c>
      <c r="U1090" s="21">
        <v>200000</v>
      </c>
    </row>
    <row r="1091" spans="1:22" ht="42.95" customHeight="1">
      <c r="A1091" s="55" t="s">
        <v>1327</v>
      </c>
      <c r="B1091" s="55"/>
      <c r="C1091" s="1">
        <f t="shared" si="274"/>
        <v>3804300</v>
      </c>
      <c r="D1091" s="1">
        <f t="shared" ref="D1091:U1091" si="291">SUM(D1092)</f>
        <v>3604300</v>
      </c>
      <c r="E1091" s="1">
        <f t="shared" si="291"/>
        <v>663950</v>
      </c>
      <c r="F1091" s="1">
        <f t="shared" si="291"/>
        <v>1517600</v>
      </c>
      <c r="G1091" s="1">
        <f t="shared" si="291"/>
        <v>663950</v>
      </c>
      <c r="H1091" s="1">
        <f t="shared" si="291"/>
        <v>0</v>
      </c>
      <c r="I1091" s="1">
        <f t="shared" si="291"/>
        <v>758800</v>
      </c>
      <c r="J1091" s="1">
        <f t="shared" si="291"/>
        <v>0</v>
      </c>
      <c r="K1091" s="42">
        <f t="shared" si="291"/>
        <v>0</v>
      </c>
      <c r="L1091" s="1">
        <f t="shared" si="291"/>
        <v>0</v>
      </c>
      <c r="M1091" s="1">
        <f t="shared" si="291"/>
        <v>0</v>
      </c>
      <c r="N1091" s="1">
        <f t="shared" si="291"/>
        <v>0</v>
      </c>
      <c r="O1091" s="1">
        <f t="shared" si="291"/>
        <v>0</v>
      </c>
      <c r="P1091" s="1">
        <f t="shared" si="291"/>
        <v>0</v>
      </c>
      <c r="Q1091" s="1">
        <f t="shared" si="291"/>
        <v>0</v>
      </c>
      <c r="R1091" s="1">
        <f t="shared" si="291"/>
        <v>0</v>
      </c>
      <c r="S1091" s="1">
        <f t="shared" si="291"/>
        <v>0</v>
      </c>
      <c r="T1091" s="1">
        <f t="shared" si="291"/>
        <v>0</v>
      </c>
      <c r="U1091" s="1">
        <f t="shared" si="291"/>
        <v>200000</v>
      </c>
      <c r="V1091" s="13">
        <f>C1091</f>
        <v>3804300</v>
      </c>
    </row>
    <row r="1092" spans="1:22" ht="23.1" customHeight="1">
      <c r="A1092" s="19" t="s">
        <v>1905</v>
      </c>
      <c r="B1092" s="24" t="s">
        <v>333</v>
      </c>
      <c r="C1092" s="1">
        <f t="shared" si="274"/>
        <v>3804300</v>
      </c>
      <c r="D1092" s="21">
        <f t="shared" ref="D1092" si="292">SUM(E1092:J1092)</f>
        <v>3604300</v>
      </c>
      <c r="E1092" s="21">
        <f>350*1897</f>
        <v>663950</v>
      </c>
      <c r="F1092" s="21">
        <f>800*1897</f>
        <v>1517600</v>
      </c>
      <c r="G1092" s="21">
        <f>350*1897</f>
        <v>663950</v>
      </c>
      <c r="H1092" s="21">
        <f>500*0</f>
        <v>0</v>
      </c>
      <c r="I1092" s="21">
        <f>400*1897</f>
        <v>758800</v>
      </c>
      <c r="J1092" s="21">
        <v>0</v>
      </c>
      <c r="K1092" s="40">
        <v>0</v>
      </c>
      <c r="L1092" s="21">
        <v>0</v>
      </c>
      <c r="M1092" s="21">
        <v>0</v>
      </c>
      <c r="N1092" s="21">
        <v>0</v>
      </c>
      <c r="O1092" s="21">
        <v>0</v>
      </c>
      <c r="P1092" s="21">
        <v>0</v>
      </c>
      <c r="Q1092" s="21">
        <v>0</v>
      </c>
      <c r="R1092" s="21">
        <v>0</v>
      </c>
      <c r="S1092" s="21">
        <v>0</v>
      </c>
      <c r="T1092" s="21">
        <v>0</v>
      </c>
      <c r="U1092" s="21">
        <v>200000</v>
      </c>
    </row>
    <row r="1093" spans="1:22" ht="42.95" customHeight="1">
      <c r="A1093" s="55" t="s">
        <v>1326</v>
      </c>
      <c r="B1093" s="55"/>
      <c r="C1093" s="1">
        <f t="shared" si="274"/>
        <v>2204794</v>
      </c>
      <c r="D1093" s="1">
        <f t="shared" ref="D1093:U1093" si="293">SUM(D1094)</f>
        <v>121589.99999999999</v>
      </c>
      <c r="E1093" s="1">
        <f t="shared" si="293"/>
        <v>121589.99999999999</v>
      </c>
      <c r="F1093" s="1">
        <f t="shared" si="293"/>
        <v>0</v>
      </c>
      <c r="G1093" s="1">
        <f t="shared" si="293"/>
        <v>0</v>
      </c>
      <c r="H1093" s="1">
        <f t="shared" si="293"/>
        <v>0</v>
      </c>
      <c r="I1093" s="1">
        <f t="shared" si="293"/>
        <v>0</v>
      </c>
      <c r="J1093" s="1">
        <f t="shared" si="293"/>
        <v>0</v>
      </c>
      <c r="K1093" s="42">
        <f t="shared" si="293"/>
        <v>0</v>
      </c>
      <c r="L1093" s="1">
        <f t="shared" si="293"/>
        <v>0</v>
      </c>
      <c r="M1093" s="1">
        <f t="shared" si="293"/>
        <v>235</v>
      </c>
      <c r="N1093" s="1">
        <f t="shared" si="293"/>
        <v>1245500</v>
      </c>
      <c r="O1093" s="1">
        <f t="shared" si="293"/>
        <v>0</v>
      </c>
      <c r="P1093" s="1">
        <f t="shared" si="293"/>
        <v>0</v>
      </c>
      <c r="Q1093" s="1">
        <f t="shared" si="293"/>
        <v>244.8</v>
      </c>
      <c r="R1093" s="1">
        <f t="shared" si="293"/>
        <v>637704</v>
      </c>
      <c r="S1093" s="1">
        <f t="shared" si="293"/>
        <v>0</v>
      </c>
      <c r="T1093" s="1">
        <f t="shared" si="293"/>
        <v>0</v>
      </c>
      <c r="U1093" s="1">
        <f t="shared" si="293"/>
        <v>200000</v>
      </c>
    </row>
    <row r="1094" spans="1:22" ht="23.1" customHeight="1">
      <c r="A1094" s="19" t="s">
        <v>1906</v>
      </c>
      <c r="B1094" s="24" t="s">
        <v>331</v>
      </c>
      <c r="C1094" s="1">
        <f t="shared" ref="C1094:C1115" si="294">D1094+L1094+N1094+P1094+R1094+S1094+T1094+U1094</f>
        <v>2204794</v>
      </c>
      <c r="D1094" s="21">
        <f t="shared" ref="D1094" si="295">SUM(E1094:J1094)</f>
        <v>121589.99999999999</v>
      </c>
      <c r="E1094" s="21">
        <f>350*347.4</f>
        <v>121589.99999999999</v>
      </c>
      <c r="F1094" s="21">
        <f>800*0</f>
        <v>0</v>
      </c>
      <c r="G1094" s="21">
        <f>350*0</f>
        <v>0</v>
      </c>
      <c r="H1094" s="21">
        <f>500*0</f>
        <v>0</v>
      </c>
      <c r="I1094" s="21">
        <f>400*0</f>
        <v>0</v>
      </c>
      <c r="J1094" s="21">
        <v>0</v>
      </c>
      <c r="K1094" s="40">
        <v>0</v>
      </c>
      <c r="L1094" s="21">
        <v>0</v>
      </c>
      <c r="M1094" s="21">
        <v>235</v>
      </c>
      <c r="N1094" s="21">
        <v>1245500</v>
      </c>
      <c r="O1094" s="21">
        <v>0</v>
      </c>
      <c r="P1094" s="21">
        <v>0</v>
      </c>
      <c r="Q1094" s="21">
        <v>244.8</v>
      </c>
      <c r="R1094" s="21">
        <v>637704</v>
      </c>
      <c r="S1094" s="21">
        <v>0</v>
      </c>
      <c r="T1094" s="21">
        <v>0</v>
      </c>
      <c r="U1094" s="21">
        <v>200000</v>
      </c>
    </row>
    <row r="1095" spans="1:22" ht="42.95" customHeight="1">
      <c r="A1095" s="55" t="s">
        <v>335</v>
      </c>
      <c r="B1095" s="55"/>
      <c r="C1095" s="1">
        <f t="shared" si="294"/>
        <v>9388800</v>
      </c>
      <c r="D1095" s="1">
        <f t="shared" ref="D1095:U1095" si="296">SUM(D1096:D1097)</f>
        <v>0</v>
      </c>
      <c r="E1095" s="1">
        <f t="shared" si="296"/>
        <v>0</v>
      </c>
      <c r="F1095" s="1">
        <f t="shared" si="296"/>
        <v>0</v>
      </c>
      <c r="G1095" s="1">
        <f t="shared" si="296"/>
        <v>0</v>
      </c>
      <c r="H1095" s="1">
        <f t="shared" si="296"/>
        <v>0</v>
      </c>
      <c r="I1095" s="1">
        <f t="shared" si="296"/>
        <v>0</v>
      </c>
      <c r="J1095" s="1">
        <f t="shared" si="296"/>
        <v>0</v>
      </c>
      <c r="K1095" s="42">
        <f t="shared" si="296"/>
        <v>0</v>
      </c>
      <c r="L1095" s="1">
        <f t="shared" si="296"/>
        <v>0</v>
      </c>
      <c r="M1095" s="1">
        <f t="shared" si="296"/>
        <v>1175</v>
      </c>
      <c r="N1095" s="1">
        <f t="shared" si="296"/>
        <v>6227500</v>
      </c>
      <c r="O1095" s="1">
        <f t="shared" si="296"/>
        <v>0</v>
      </c>
      <c r="P1095" s="1">
        <f t="shared" si="296"/>
        <v>0</v>
      </c>
      <c r="Q1095" s="1">
        <f t="shared" si="296"/>
        <v>1060</v>
      </c>
      <c r="R1095" s="1">
        <f t="shared" si="296"/>
        <v>2761300</v>
      </c>
      <c r="S1095" s="1">
        <f t="shared" si="296"/>
        <v>0</v>
      </c>
      <c r="T1095" s="1">
        <f t="shared" si="296"/>
        <v>0</v>
      </c>
      <c r="U1095" s="1">
        <f t="shared" si="296"/>
        <v>400000</v>
      </c>
    </row>
    <row r="1096" spans="1:22" ht="23.1" customHeight="1">
      <c r="A1096" s="17" t="s">
        <v>1907</v>
      </c>
      <c r="B1096" s="24" t="s">
        <v>1519</v>
      </c>
      <c r="C1096" s="1">
        <f t="shared" si="294"/>
        <v>7731300</v>
      </c>
      <c r="D1096" s="21">
        <f t="shared" ref="D1096:D1097" si="297">SUM(E1096:J1096)</f>
        <v>0</v>
      </c>
      <c r="E1096" s="21">
        <v>0</v>
      </c>
      <c r="F1096" s="21">
        <v>0</v>
      </c>
      <c r="G1096" s="21">
        <v>0</v>
      </c>
      <c r="H1096" s="21">
        <v>0</v>
      </c>
      <c r="I1096" s="21">
        <v>0</v>
      </c>
      <c r="J1096" s="21">
        <v>0</v>
      </c>
      <c r="K1096" s="5">
        <v>0</v>
      </c>
      <c r="L1096" s="3">
        <v>0</v>
      </c>
      <c r="M1096" s="3">
        <v>900</v>
      </c>
      <c r="N1096" s="3">
        <f>M1096*5300</f>
        <v>4770000</v>
      </c>
      <c r="O1096" s="3">
        <v>0</v>
      </c>
      <c r="P1096" s="3">
        <v>0</v>
      </c>
      <c r="Q1096" s="3">
        <v>1060</v>
      </c>
      <c r="R1096" s="3">
        <f>Q1096*2605</f>
        <v>2761300</v>
      </c>
      <c r="S1096" s="3">
        <v>0</v>
      </c>
      <c r="T1096" s="3">
        <v>0</v>
      </c>
      <c r="U1096" s="3">
        <v>200000</v>
      </c>
    </row>
    <row r="1097" spans="1:22" ht="23.1" customHeight="1">
      <c r="A1097" s="19" t="s">
        <v>1908</v>
      </c>
      <c r="B1097" s="24" t="s">
        <v>338</v>
      </c>
      <c r="C1097" s="1">
        <f t="shared" si="294"/>
        <v>1657500</v>
      </c>
      <c r="D1097" s="21">
        <f t="shared" si="297"/>
        <v>0</v>
      </c>
      <c r="E1097" s="21">
        <v>0</v>
      </c>
      <c r="F1097" s="21">
        <v>0</v>
      </c>
      <c r="G1097" s="21">
        <v>0</v>
      </c>
      <c r="H1097" s="21">
        <v>0</v>
      </c>
      <c r="I1097" s="21">
        <v>0</v>
      </c>
      <c r="J1097" s="21">
        <v>0</v>
      </c>
      <c r="K1097" s="40">
        <v>0</v>
      </c>
      <c r="L1097" s="21">
        <v>0</v>
      </c>
      <c r="M1097" s="21">
        <v>275</v>
      </c>
      <c r="N1097" s="21">
        <v>1457500</v>
      </c>
      <c r="O1097" s="21">
        <v>0</v>
      </c>
      <c r="P1097" s="21">
        <v>0</v>
      </c>
      <c r="Q1097" s="21">
        <v>0</v>
      </c>
      <c r="R1097" s="21">
        <v>0</v>
      </c>
      <c r="S1097" s="21">
        <v>0</v>
      </c>
      <c r="T1097" s="21">
        <v>0</v>
      </c>
      <c r="U1097" s="21">
        <v>200000</v>
      </c>
    </row>
    <row r="1098" spans="1:22" ht="42.95" customHeight="1">
      <c r="A1098" s="55" t="s">
        <v>342</v>
      </c>
      <c r="B1098" s="55"/>
      <c r="C1098" s="1">
        <f t="shared" si="294"/>
        <v>2466280</v>
      </c>
      <c r="D1098" s="1">
        <f t="shared" ref="D1098:U1098" si="298">SUM(D1099)</f>
        <v>566279.99999999988</v>
      </c>
      <c r="E1098" s="1">
        <f t="shared" si="298"/>
        <v>180179.99999999997</v>
      </c>
      <c r="F1098" s="1">
        <f t="shared" si="298"/>
        <v>0</v>
      </c>
      <c r="G1098" s="1">
        <f t="shared" si="298"/>
        <v>180179.99999999997</v>
      </c>
      <c r="H1098" s="1">
        <f t="shared" si="298"/>
        <v>0</v>
      </c>
      <c r="I1098" s="1">
        <f t="shared" si="298"/>
        <v>205919.99999999997</v>
      </c>
      <c r="J1098" s="1">
        <f t="shared" si="298"/>
        <v>0</v>
      </c>
      <c r="K1098" s="42">
        <f t="shared" si="298"/>
        <v>0</v>
      </c>
      <c r="L1098" s="1">
        <f t="shared" si="298"/>
        <v>0</v>
      </c>
      <c r="M1098" s="1">
        <f t="shared" si="298"/>
        <v>0</v>
      </c>
      <c r="N1098" s="1">
        <f t="shared" si="298"/>
        <v>0</v>
      </c>
      <c r="O1098" s="1">
        <f t="shared" si="298"/>
        <v>0</v>
      </c>
      <c r="P1098" s="1">
        <f t="shared" si="298"/>
        <v>0</v>
      </c>
      <c r="Q1098" s="1">
        <f t="shared" si="298"/>
        <v>600</v>
      </c>
      <c r="R1098" s="1">
        <f t="shared" si="298"/>
        <v>1800000</v>
      </c>
      <c r="S1098" s="1">
        <f t="shared" si="298"/>
        <v>0</v>
      </c>
      <c r="T1098" s="1">
        <f t="shared" si="298"/>
        <v>0</v>
      </c>
      <c r="U1098" s="1">
        <f t="shared" si="298"/>
        <v>100000</v>
      </c>
    </row>
    <row r="1099" spans="1:22" ht="23.1" customHeight="1">
      <c r="A1099" s="17" t="s">
        <v>1909</v>
      </c>
      <c r="B1099" s="24" t="s">
        <v>1939</v>
      </c>
      <c r="C1099" s="1">
        <f t="shared" si="294"/>
        <v>2466280</v>
      </c>
      <c r="D1099" s="21">
        <f t="shared" ref="D1099" si="299">SUM(E1099:J1099)</f>
        <v>566279.99999999988</v>
      </c>
      <c r="E1099" s="21">
        <f>350*514.8</f>
        <v>180179.99999999997</v>
      </c>
      <c r="F1099" s="21">
        <f>800*0</f>
        <v>0</v>
      </c>
      <c r="G1099" s="21">
        <f>350*514.8</f>
        <v>180179.99999999997</v>
      </c>
      <c r="H1099" s="21">
        <f>500*0</f>
        <v>0</v>
      </c>
      <c r="I1099" s="21">
        <f>400*514.8</f>
        <v>205919.99999999997</v>
      </c>
      <c r="J1099" s="21">
        <v>0</v>
      </c>
      <c r="K1099" s="5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0</v>
      </c>
      <c r="Q1099" s="3">
        <v>600</v>
      </c>
      <c r="R1099" s="3">
        <f>Q1099*3000</f>
        <v>1800000</v>
      </c>
      <c r="S1099" s="3">
        <v>0</v>
      </c>
      <c r="T1099" s="3">
        <v>0</v>
      </c>
      <c r="U1099" s="3">
        <v>100000</v>
      </c>
      <c r="V1099" s="13"/>
    </row>
    <row r="1100" spans="1:22" ht="45" customHeight="1">
      <c r="A1100" s="55" t="s">
        <v>1968</v>
      </c>
      <c r="B1100" s="55"/>
      <c r="C1100" s="1">
        <f t="shared" si="294"/>
        <v>104190827.5</v>
      </c>
      <c r="D1100" s="1">
        <f t="shared" ref="D1100:U1100" si="300">SUM(D1101:D1112)</f>
        <v>27781390</v>
      </c>
      <c r="E1100" s="1">
        <f t="shared" si="300"/>
        <v>4994710</v>
      </c>
      <c r="F1100" s="1">
        <f t="shared" si="300"/>
        <v>11416480</v>
      </c>
      <c r="G1100" s="1">
        <f t="shared" si="300"/>
        <v>4994710</v>
      </c>
      <c r="H1100" s="1">
        <f t="shared" si="300"/>
        <v>667250</v>
      </c>
      <c r="I1100" s="1">
        <f t="shared" si="300"/>
        <v>5708240</v>
      </c>
      <c r="J1100" s="1">
        <f t="shared" si="300"/>
        <v>0</v>
      </c>
      <c r="K1100" s="42">
        <f t="shared" si="300"/>
        <v>0</v>
      </c>
      <c r="L1100" s="1">
        <f t="shared" si="300"/>
        <v>0</v>
      </c>
      <c r="M1100" s="1">
        <f t="shared" si="300"/>
        <v>7026.6</v>
      </c>
      <c r="N1100" s="1">
        <f t="shared" si="300"/>
        <v>37240980</v>
      </c>
      <c r="O1100" s="1">
        <f t="shared" si="300"/>
        <v>382</v>
      </c>
      <c r="P1100" s="1">
        <f t="shared" si="300"/>
        <v>458400</v>
      </c>
      <c r="Q1100" s="1">
        <f t="shared" si="300"/>
        <v>12134.300000000001</v>
      </c>
      <c r="R1100" s="1">
        <f t="shared" si="300"/>
        <v>36031807.5</v>
      </c>
      <c r="S1100" s="1">
        <f t="shared" si="300"/>
        <v>278250</v>
      </c>
      <c r="T1100" s="1">
        <f t="shared" si="300"/>
        <v>0</v>
      </c>
      <c r="U1100" s="1">
        <f t="shared" si="300"/>
        <v>2400000</v>
      </c>
    </row>
    <row r="1101" spans="1:22" ht="21.95" customHeight="1">
      <c r="A1101" s="19" t="s">
        <v>1910</v>
      </c>
      <c r="B1101" s="24" t="s">
        <v>369</v>
      </c>
      <c r="C1101" s="1">
        <f t="shared" si="294"/>
        <v>4981725</v>
      </c>
      <c r="D1101" s="21">
        <f t="shared" ref="D1101:D1112" si="301">SUM(E1101:J1101)</f>
        <v>1615920</v>
      </c>
      <c r="E1101" s="21">
        <f>350*673.3</f>
        <v>235654.99999999997</v>
      </c>
      <c r="F1101" s="21">
        <f>800*673.3</f>
        <v>538640</v>
      </c>
      <c r="G1101" s="21">
        <f>350*673.3</f>
        <v>235654.99999999997</v>
      </c>
      <c r="H1101" s="21">
        <f>500*673.3</f>
        <v>336650</v>
      </c>
      <c r="I1101" s="21">
        <f>400*673.3</f>
        <v>269320</v>
      </c>
      <c r="J1101" s="21">
        <v>0</v>
      </c>
      <c r="K1101" s="40">
        <v>0</v>
      </c>
      <c r="L1101" s="21">
        <v>0</v>
      </c>
      <c r="M1101" s="21">
        <v>378.6</v>
      </c>
      <c r="N1101" s="21">
        <v>2006580</v>
      </c>
      <c r="O1101" s="21">
        <v>0</v>
      </c>
      <c r="P1101" s="21">
        <v>0</v>
      </c>
      <c r="Q1101" s="21">
        <v>445</v>
      </c>
      <c r="R1101" s="21">
        <v>1159225</v>
      </c>
      <c r="S1101" s="21">
        <v>0</v>
      </c>
      <c r="T1101" s="21">
        <v>0</v>
      </c>
      <c r="U1101" s="21">
        <v>200000</v>
      </c>
    </row>
    <row r="1102" spans="1:22" ht="21.95" customHeight="1">
      <c r="A1102" s="19" t="s">
        <v>1911</v>
      </c>
      <c r="B1102" s="24" t="s">
        <v>370</v>
      </c>
      <c r="C1102" s="1">
        <f t="shared" si="294"/>
        <v>10703985</v>
      </c>
      <c r="D1102" s="21">
        <f t="shared" si="301"/>
        <v>3549010</v>
      </c>
      <c r="E1102" s="21">
        <f>350*1867.9</f>
        <v>653765</v>
      </c>
      <c r="F1102" s="21">
        <f>800*1867.9</f>
        <v>1494320</v>
      </c>
      <c r="G1102" s="21">
        <f>350*1867.9</f>
        <v>653765</v>
      </c>
      <c r="H1102" s="21">
        <f t="shared" ref="H1102:H1107" si="302">500*0</f>
        <v>0</v>
      </c>
      <c r="I1102" s="21">
        <f>400*1867.9</f>
        <v>747160</v>
      </c>
      <c r="J1102" s="21">
        <v>0</v>
      </c>
      <c r="K1102" s="40">
        <v>0</v>
      </c>
      <c r="L1102" s="21">
        <v>0</v>
      </c>
      <c r="M1102" s="21">
        <v>794.7</v>
      </c>
      <c r="N1102" s="21">
        <v>4211910</v>
      </c>
      <c r="O1102" s="21">
        <v>0</v>
      </c>
      <c r="P1102" s="21">
        <v>0</v>
      </c>
      <c r="Q1102" s="21">
        <v>1053</v>
      </c>
      <c r="R1102" s="21">
        <v>2743065</v>
      </c>
      <c r="S1102" s="21">
        <v>0</v>
      </c>
      <c r="T1102" s="21">
        <v>0</v>
      </c>
      <c r="U1102" s="21">
        <v>200000</v>
      </c>
    </row>
    <row r="1103" spans="1:22" ht="21.95" customHeight="1">
      <c r="A1103" s="19" t="s">
        <v>1912</v>
      </c>
      <c r="B1103" s="24" t="s">
        <v>371</v>
      </c>
      <c r="C1103" s="1">
        <f t="shared" si="294"/>
        <v>8021385</v>
      </c>
      <c r="D1103" s="21">
        <f t="shared" si="301"/>
        <v>1749520</v>
      </c>
      <c r="E1103" s="21">
        <f>350*920.8</f>
        <v>322280</v>
      </c>
      <c r="F1103" s="21">
        <f>800*920.8</f>
        <v>736640</v>
      </c>
      <c r="G1103" s="21">
        <f>350*920.8</f>
        <v>322280</v>
      </c>
      <c r="H1103" s="21">
        <f t="shared" si="302"/>
        <v>0</v>
      </c>
      <c r="I1103" s="21">
        <f>400*920.8</f>
        <v>368320</v>
      </c>
      <c r="J1103" s="21">
        <v>0</v>
      </c>
      <c r="K1103" s="40">
        <v>0</v>
      </c>
      <c r="L1103" s="21">
        <v>0</v>
      </c>
      <c r="M1103" s="21">
        <v>759.8</v>
      </c>
      <c r="N1103" s="21">
        <v>4026940</v>
      </c>
      <c r="O1103" s="21">
        <v>0</v>
      </c>
      <c r="P1103" s="21">
        <v>0</v>
      </c>
      <c r="Q1103" s="21">
        <v>785</v>
      </c>
      <c r="R1103" s="21">
        <v>2044925</v>
      </c>
      <c r="S1103" s="21">
        <v>0</v>
      </c>
      <c r="T1103" s="21">
        <v>0</v>
      </c>
      <c r="U1103" s="21">
        <v>200000</v>
      </c>
    </row>
    <row r="1104" spans="1:22" ht="21.95" customHeight="1">
      <c r="A1104" s="19" t="s">
        <v>1955</v>
      </c>
      <c r="B1104" s="24" t="s">
        <v>372</v>
      </c>
      <c r="C1104" s="1">
        <f t="shared" si="294"/>
        <v>4465098</v>
      </c>
      <c r="D1104" s="21">
        <f t="shared" si="301"/>
        <v>1744580</v>
      </c>
      <c r="E1104" s="21">
        <f>350*918.2</f>
        <v>321370</v>
      </c>
      <c r="F1104" s="21">
        <f>800*918.2</f>
        <v>734560</v>
      </c>
      <c r="G1104" s="21">
        <f>350*918.2</f>
        <v>321370</v>
      </c>
      <c r="H1104" s="21">
        <f t="shared" si="302"/>
        <v>0</v>
      </c>
      <c r="I1104" s="21">
        <f>400*918.2</f>
        <v>367280</v>
      </c>
      <c r="J1104" s="21">
        <v>0</v>
      </c>
      <c r="K1104" s="40">
        <v>0</v>
      </c>
      <c r="L1104" s="21">
        <v>0</v>
      </c>
      <c r="M1104" s="21">
        <v>0</v>
      </c>
      <c r="N1104" s="21">
        <v>0</v>
      </c>
      <c r="O1104" s="21">
        <v>382</v>
      </c>
      <c r="P1104" s="21">
        <v>458400</v>
      </c>
      <c r="Q1104" s="21">
        <v>791.6</v>
      </c>
      <c r="R1104" s="21">
        <v>2062118</v>
      </c>
      <c r="S1104" s="21">
        <v>0</v>
      </c>
      <c r="T1104" s="21">
        <v>0</v>
      </c>
      <c r="U1104" s="21">
        <v>200000</v>
      </c>
    </row>
    <row r="1105" spans="1:22" ht="21.95" customHeight="1">
      <c r="A1105" s="19" t="s">
        <v>1956</v>
      </c>
      <c r="B1105" s="24" t="s">
        <v>373</v>
      </c>
      <c r="C1105" s="1">
        <f t="shared" si="294"/>
        <v>13426135</v>
      </c>
      <c r="D1105" s="21">
        <f t="shared" si="301"/>
        <v>4171260</v>
      </c>
      <c r="E1105" s="21">
        <f>350*2195.4</f>
        <v>768390</v>
      </c>
      <c r="F1105" s="21">
        <f>800*2195.4</f>
        <v>1756320</v>
      </c>
      <c r="G1105" s="21">
        <f>350*2195.4</f>
        <v>768390</v>
      </c>
      <c r="H1105" s="21">
        <f t="shared" si="302"/>
        <v>0</v>
      </c>
      <c r="I1105" s="21">
        <f>400*2195.4</f>
        <v>878160</v>
      </c>
      <c r="J1105" s="21">
        <v>0</v>
      </c>
      <c r="K1105" s="40">
        <v>0</v>
      </c>
      <c r="L1105" s="21">
        <v>0</v>
      </c>
      <c r="M1105" s="21">
        <v>901.9</v>
      </c>
      <c r="N1105" s="21">
        <v>4780070</v>
      </c>
      <c r="O1105" s="21">
        <v>0</v>
      </c>
      <c r="P1105" s="21">
        <v>0</v>
      </c>
      <c r="Q1105" s="21">
        <v>1641</v>
      </c>
      <c r="R1105" s="21">
        <v>4274805</v>
      </c>
      <c r="S1105" s="21">
        <v>0</v>
      </c>
      <c r="T1105" s="21">
        <v>0</v>
      </c>
      <c r="U1105" s="21">
        <v>200000</v>
      </c>
    </row>
    <row r="1106" spans="1:22" ht="21.95" customHeight="1">
      <c r="A1106" s="19" t="s">
        <v>1957</v>
      </c>
      <c r="B1106" s="24" t="s">
        <v>374</v>
      </c>
      <c r="C1106" s="1">
        <f t="shared" si="294"/>
        <v>13262205</v>
      </c>
      <c r="D1106" s="21">
        <f t="shared" si="301"/>
        <v>4058210</v>
      </c>
      <c r="E1106" s="21">
        <f>350*2135.9</f>
        <v>747565</v>
      </c>
      <c r="F1106" s="21">
        <f>800*2135.9</f>
        <v>1708720</v>
      </c>
      <c r="G1106" s="21">
        <f>350*2135.9</f>
        <v>747565</v>
      </c>
      <c r="H1106" s="21">
        <f t="shared" si="302"/>
        <v>0</v>
      </c>
      <c r="I1106" s="21">
        <f>400*2135.9</f>
        <v>854360</v>
      </c>
      <c r="J1106" s="21">
        <v>0</v>
      </c>
      <c r="K1106" s="40">
        <v>0</v>
      </c>
      <c r="L1106" s="21">
        <v>0</v>
      </c>
      <c r="M1106" s="21">
        <v>892.3</v>
      </c>
      <c r="N1106" s="21">
        <v>4729190</v>
      </c>
      <c r="O1106" s="21">
        <v>0</v>
      </c>
      <c r="P1106" s="21">
        <v>0</v>
      </c>
      <c r="Q1106" s="21">
        <v>1641</v>
      </c>
      <c r="R1106" s="21">
        <v>4274805</v>
      </c>
      <c r="S1106" s="21">
        <v>0</v>
      </c>
      <c r="T1106" s="21">
        <v>0</v>
      </c>
      <c r="U1106" s="21">
        <v>200000</v>
      </c>
    </row>
    <row r="1107" spans="1:22" ht="21.95" customHeight="1">
      <c r="A1107" s="19" t="s">
        <v>1958</v>
      </c>
      <c r="B1107" s="24" t="s">
        <v>375</v>
      </c>
      <c r="C1107" s="1">
        <f t="shared" si="294"/>
        <v>17266610</v>
      </c>
      <c r="D1107" s="21">
        <f t="shared" si="301"/>
        <v>4069420.0000000005</v>
      </c>
      <c r="E1107" s="21">
        <f>350*2141.8</f>
        <v>749630.00000000012</v>
      </c>
      <c r="F1107" s="21">
        <f>800*2141.8</f>
        <v>1713440.0000000002</v>
      </c>
      <c r="G1107" s="21">
        <f>350*2141.8</f>
        <v>749630.00000000012</v>
      </c>
      <c r="H1107" s="21">
        <f t="shared" si="302"/>
        <v>0</v>
      </c>
      <c r="I1107" s="21">
        <f>400*2141.8</f>
        <v>856720.00000000012</v>
      </c>
      <c r="J1107" s="21">
        <v>0</v>
      </c>
      <c r="K1107" s="40">
        <v>0</v>
      </c>
      <c r="L1107" s="21">
        <v>0</v>
      </c>
      <c r="M1107" s="21">
        <v>811.5</v>
      </c>
      <c r="N1107" s="21">
        <v>4300950</v>
      </c>
      <c r="O1107" s="21">
        <v>0</v>
      </c>
      <c r="P1107" s="21">
        <v>0</v>
      </c>
      <c r="Q1107" s="21">
        <v>1640.8</v>
      </c>
      <c r="R1107" s="21">
        <v>8696240</v>
      </c>
      <c r="S1107" s="21">
        <v>0</v>
      </c>
      <c r="T1107" s="21">
        <v>0</v>
      </c>
      <c r="U1107" s="21">
        <v>200000</v>
      </c>
    </row>
    <row r="1108" spans="1:22" ht="21.95" customHeight="1">
      <c r="A1108" s="19" t="s">
        <v>1959</v>
      </c>
      <c r="B1108" s="24" t="s">
        <v>376</v>
      </c>
      <c r="C1108" s="1">
        <f t="shared" si="294"/>
        <v>7897651.5</v>
      </c>
      <c r="D1108" s="21">
        <f t="shared" si="301"/>
        <v>1586880</v>
      </c>
      <c r="E1108" s="21">
        <f>350*661.2</f>
        <v>231420.00000000003</v>
      </c>
      <c r="F1108" s="21">
        <f>800*661.2</f>
        <v>528960</v>
      </c>
      <c r="G1108" s="21">
        <f>350*661.2</f>
        <v>231420.00000000003</v>
      </c>
      <c r="H1108" s="21">
        <f>500*661.2</f>
        <v>330600</v>
      </c>
      <c r="I1108" s="21">
        <f>400*661.2</f>
        <v>264480</v>
      </c>
      <c r="J1108" s="21">
        <v>0</v>
      </c>
      <c r="K1108" s="40">
        <v>0</v>
      </c>
      <c r="L1108" s="21">
        <v>0</v>
      </c>
      <c r="M1108" s="21">
        <v>560.29999999999995</v>
      </c>
      <c r="N1108" s="21">
        <v>2969590</v>
      </c>
      <c r="O1108" s="21">
        <v>0</v>
      </c>
      <c r="P1108" s="21">
        <v>0</v>
      </c>
      <c r="Q1108" s="21">
        <v>1152.3</v>
      </c>
      <c r="R1108" s="21">
        <v>3001741.5</v>
      </c>
      <c r="S1108" s="21">
        <v>139440</v>
      </c>
      <c r="T1108" s="21">
        <v>0</v>
      </c>
      <c r="U1108" s="21">
        <v>200000</v>
      </c>
    </row>
    <row r="1109" spans="1:22" ht="21.95" customHeight="1">
      <c r="A1109" s="19" t="s">
        <v>1960</v>
      </c>
      <c r="B1109" s="24" t="s">
        <v>377</v>
      </c>
      <c r="C1109" s="1">
        <f t="shared" si="294"/>
        <v>7752503</v>
      </c>
      <c r="D1109" s="21">
        <f t="shared" si="301"/>
        <v>1400680</v>
      </c>
      <c r="E1109" s="21">
        <f>350*737.2</f>
        <v>258020.00000000003</v>
      </c>
      <c r="F1109" s="21">
        <f>800*737.2</f>
        <v>589760</v>
      </c>
      <c r="G1109" s="21">
        <f>350*737.2</f>
        <v>258020.00000000003</v>
      </c>
      <c r="H1109" s="21">
        <f>500*0</f>
        <v>0</v>
      </c>
      <c r="I1109" s="21">
        <f>400*737.2</f>
        <v>294880</v>
      </c>
      <c r="J1109" s="21">
        <v>0</v>
      </c>
      <c r="K1109" s="40">
        <v>0</v>
      </c>
      <c r="L1109" s="21">
        <v>0</v>
      </c>
      <c r="M1109" s="21">
        <v>569</v>
      </c>
      <c r="N1109" s="21">
        <v>3015700</v>
      </c>
      <c r="O1109" s="21">
        <v>0</v>
      </c>
      <c r="P1109" s="21">
        <v>0</v>
      </c>
      <c r="Q1109" s="21">
        <v>1150.5999999999999</v>
      </c>
      <c r="R1109" s="21">
        <v>2997313</v>
      </c>
      <c r="S1109" s="21">
        <v>138810</v>
      </c>
      <c r="T1109" s="21">
        <v>0</v>
      </c>
      <c r="U1109" s="21">
        <v>200000</v>
      </c>
    </row>
    <row r="1110" spans="1:22" ht="21.95" customHeight="1">
      <c r="A1110" s="19" t="s">
        <v>1961</v>
      </c>
      <c r="B1110" s="24" t="s">
        <v>378</v>
      </c>
      <c r="C1110" s="1">
        <f t="shared" si="294"/>
        <v>6320890</v>
      </c>
      <c r="D1110" s="21">
        <f t="shared" si="301"/>
        <v>1390230</v>
      </c>
      <c r="E1110" s="21">
        <f>350*731.7</f>
        <v>256095.00000000003</v>
      </c>
      <c r="F1110" s="21">
        <f>800*731.7</f>
        <v>585360</v>
      </c>
      <c r="G1110" s="21">
        <f>350*731.7</f>
        <v>256095.00000000003</v>
      </c>
      <c r="H1110" s="21">
        <f>500*0</f>
        <v>0</v>
      </c>
      <c r="I1110" s="21">
        <f>400*731.7</f>
        <v>292680</v>
      </c>
      <c r="J1110" s="21">
        <v>0</v>
      </c>
      <c r="K1110" s="40">
        <v>0</v>
      </c>
      <c r="L1110" s="21">
        <v>0</v>
      </c>
      <c r="M1110" s="21">
        <v>561.29999999999995</v>
      </c>
      <c r="N1110" s="21">
        <v>2974890</v>
      </c>
      <c r="O1110" s="21">
        <v>0</v>
      </c>
      <c r="P1110" s="21">
        <v>0</v>
      </c>
      <c r="Q1110" s="21">
        <v>674</v>
      </c>
      <c r="R1110" s="21">
        <v>1755770</v>
      </c>
      <c r="S1110" s="21">
        <v>0</v>
      </c>
      <c r="T1110" s="21">
        <v>0</v>
      </c>
      <c r="U1110" s="21">
        <v>200000</v>
      </c>
    </row>
    <row r="1111" spans="1:22" ht="21.95" customHeight="1">
      <c r="A1111" s="19" t="s">
        <v>1962</v>
      </c>
      <c r="B1111" s="24" t="s">
        <v>379</v>
      </c>
      <c r="C1111" s="1">
        <f t="shared" si="294"/>
        <v>6578805</v>
      </c>
      <c r="D1111" s="21">
        <f t="shared" si="301"/>
        <v>1641220</v>
      </c>
      <c r="E1111" s="21">
        <f>350*863.8</f>
        <v>302330</v>
      </c>
      <c r="F1111" s="21">
        <f>800*863.8</f>
        <v>691040</v>
      </c>
      <c r="G1111" s="21">
        <f>350*863.8</f>
        <v>302330</v>
      </c>
      <c r="H1111" s="21">
        <f>500*0</f>
        <v>0</v>
      </c>
      <c r="I1111" s="21">
        <f>400*863.8</f>
        <v>345520</v>
      </c>
      <c r="J1111" s="21">
        <v>0</v>
      </c>
      <c r="K1111" s="40">
        <v>0</v>
      </c>
      <c r="L1111" s="21">
        <v>0</v>
      </c>
      <c r="M1111" s="21">
        <v>557.20000000000005</v>
      </c>
      <c r="N1111" s="21">
        <v>2953160</v>
      </c>
      <c r="O1111" s="21">
        <v>0</v>
      </c>
      <c r="P1111" s="21">
        <v>0</v>
      </c>
      <c r="Q1111" s="21">
        <v>685</v>
      </c>
      <c r="R1111" s="21">
        <v>1784425</v>
      </c>
      <c r="S1111" s="21">
        <v>0</v>
      </c>
      <c r="T1111" s="21">
        <v>0</v>
      </c>
      <c r="U1111" s="21">
        <v>200000</v>
      </c>
    </row>
    <row r="1112" spans="1:22" ht="21.95" customHeight="1">
      <c r="A1112" s="19" t="s">
        <v>1963</v>
      </c>
      <c r="B1112" s="24" t="s">
        <v>380</v>
      </c>
      <c r="C1112" s="1">
        <f t="shared" si="294"/>
        <v>3513835</v>
      </c>
      <c r="D1112" s="21">
        <f t="shared" si="301"/>
        <v>804460</v>
      </c>
      <c r="E1112" s="21">
        <f>350*423.4</f>
        <v>148190</v>
      </c>
      <c r="F1112" s="21">
        <f>800*423.4</f>
        <v>338720</v>
      </c>
      <c r="G1112" s="21">
        <f>350*423.4</f>
        <v>148190</v>
      </c>
      <c r="H1112" s="21">
        <f>500*0</f>
        <v>0</v>
      </c>
      <c r="I1112" s="21">
        <f>400*423.4</f>
        <v>169360</v>
      </c>
      <c r="J1112" s="21">
        <v>0</v>
      </c>
      <c r="K1112" s="40">
        <v>0</v>
      </c>
      <c r="L1112" s="21">
        <v>0</v>
      </c>
      <c r="M1112" s="21">
        <v>240</v>
      </c>
      <c r="N1112" s="21">
        <v>1272000</v>
      </c>
      <c r="O1112" s="21">
        <v>0</v>
      </c>
      <c r="P1112" s="21">
        <v>0</v>
      </c>
      <c r="Q1112" s="21">
        <v>475</v>
      </c>
      <c r="R1112" s="21">
        <v>1237375</v>
      </c>
      <c r="S1112" s="21">
        <v>0</v>
      </c>
      <c r="T1112" s="21">
        <v>0</v>
      </c>
      <c r="U1112" s="21">
        <v>200000</v>
      </c>
    </row>
    <row r="1113" spans="1:22" ht="45" customHeight="1">
      <c r="A1113" s="55" t="s">
        <v>385</v>
      </c>
      <c r="B1113" s="55"/>
      <c r="C1113" s="1">
        <f t="shared" si="294"/>
        <v>6545182</v>
      </c>
      <c r="D1113" s="1">
        <f t="shared" ref="D1113:U1113" si="303">SUM(D1114:D1115)</f>
        <v>190050</v>
      </c>
      <c r="E1113" s="1">
        <f t="shared" si="303"/>
        <v>190050</v>
      </c>
      <c r="F1113" s="1">
        <f t="shared" si="303"/>
        <v>0</v>
      </c>
      <c r="G1113" s="1">
        <f t="shared" si="303"/>
        <v>0</v>
      </c>
      <c r="H1113" s="1">
        <f t="shared" si="303"/>
        <v>0</v>
      </c>
      <c r="I1113" s="1">
        <f t="shared" si="303"/>
        <v>0</v>
      </c>
      <c r="J1113" s="1">
        <f t="shared" si="303"/>
        <v>0</v>
      </c>
      <c r="K1113" s="42">
        <f t="shared" si="303"/>
        <v>0</v>
      </c>
      <c r="L1113" s="1">
        <f t="shared" si="303"/>
        <v>0</v>
      </c>
      <c r="M1113" s="1">
        <f t="shared" si="303"/>
        <v>800</v>
      </c>
      <c r="N1113" s="1">
        <f t="shared" si="303"/>
        <v>4240000</v>
      </c>
      <c r="O1113" s="1">
        <f t="shared" si="303"/>
        <v>0</v>
      </c>
      <c r="P1113" s="1">
        <f t="shared" si="303"/>
        <v>0</v>
      </c>
      <c r="Q1113" s="1">
        <f t="shared" si="303"/>
        <v>658.4</v>
      </c>
      <c r="R1113" s="1">
        <f t="shared" si="303"/>
        <v>1715132</v>
      </c>
      <c r="S1113" s="1">
        <f t="shared" si="303"/>
        <v>0</v>
      </c>
      <c r="T1113" s="1">
        <f t="shared" si="303"/>
        <v>0</v>
      </c>
      <c r="U1113" s="1">
        <f t="shared" si="303"/>
        <v>400000</v>
      </c>
      <c r="V1113" s="13">
        <f>C1113</f>
        <v>6545182</v>
      </c>
    </row>
    <row r="1114" spans="1:22" ht="21.95" customHeight="1">
      <c r="A1114" s="19" t="s">
        <v>1964</v>
      </c>
      <c r="B1114" s="24" t="s">
        <v>382</v>
      </c>
      <c r="C1114" s="1">
        <f t="shared" si="294"/>
        <v>3250327.5</v>
      </c>
      <c r="D1114" s="21">
        <f t="shared" ref="D1114:D1115" si="304">SUM(E1114:J1114)</f>
        <v>92820</v>
      </c>
      <c r="E1114" s="21">
        <f>350*265.2</f>
        <v>92820</v>
      </c>
      <c r="F1114" s="21">
        <f>800*0</f>
        <v>0</v>
      </c>
      <c r="G1114" s="21">
        <f>350*0</f>
        <v>0</v>
      </c>
      <c r="H1114" s="21">
        <f>500*0</f>
        <v>0</v>
      </c>
      <c r="I1114" s="21">
        <f>400*0</f>
        <v>0</v>
      </c>
      <c r="J1114" s="21">
        <v>0</v>
      </c>
      <c r="K1114" s="40">
        <v>0</v>
      </c>
      <c r="L1114" s="21">
        <v>0</v>
      </c>
      <c r="M1114" s="21">
        <v>400</v>
      </c>
      <c r="N1114" s="21">
        <v>2120000</v>
      </c>
      <c r="O1114" s="21">
        <v>0</v>
      </c>
      <c r="P1114" s="21">
        <v>0</v>
      </c>
      <c r="Q1114" s="21">
        <v>321.5</v>
      </c>
      <c r="R1114" s="21">
        <v>837507.5</v>
      </c>
      <c r="S1114" s="21">
        <v>0</v>
      </c>
      <c r="T1114" s="21">
        <v>0</v>
      </c>
      <c r="U1114" s="21">
        <v>200000</v>
      </c>
    </row>
    <row r="1115" spans="1:22" ht="21.95" customHeight="1">
      <c r="A1115" s="19" t="s">
        <v>1965</v>
      </c>
      <c r="B1115" s="24" t="s">
        <v>384</v>
      </c>
      <c r="C1115" s="1">
        <f t="shared" si="294"/>
        <v>3294854.5</v>
      </c>
      <c r="D1115" s="21">
        <f t="shared" si="304"/>
        <v>97230</v>
      </c>
      <c r="E1115" s="21">
        <f>350*277.8</f>
        <v>97230</v>
      </c>
      <c r="F1115" s="21">
        <f>800*0</f>
        <v>0</v>
      </c>
      <c r="G1115" s="21">
        <f>350*0</f>
        <v>0</v>
      </c>
      <c r="H1115" s="21">
        <f>500*0</f>
        <v>0</v>
      </c>
      <c r="I1115" s="21">
        <f>400*0</f>
        <v>0</v>
      </c>
      <c r="J1115" s="21">
        <v>0</v>
      </c>
      <c r="K1115" s="40">
        <v>0</v>
      </c>
      <c r="L1115" s="21">
        <v>0</v>
      </c>
      <c r="M1115" s="21">
        <v>400</v>
      </c>
      <c r="N1115" s="21">
        <v>2120000</v>
      </c>
      <c r="O1115" s="21">
        <v>0</v>
      </c>
      <c r="P1115" s="21">
        <v>0</v>
      </c>
      <c r="Q1115" s="21">
        <v>336.9</v>
      </c>
      <c r="R1115" s="21">
        <v>877624.5</v>
      </c>
      <c r="S1115" s="21">
        <v>0</v>
      </c>
      <c r="T1115" s="21">
        <v>0</v>
      </c>
      <c r="U1115" s="21">
        <v>200000</v>
      </c>
    </row>
    <row r="1116" spans="1:22">
      <c r="A1116" s="10"/>
      <c r="B1116" s="2"/>
      <c r="C1116" s="13"/>
      <c r="D1116" s="2"/>
      <c r="E1116" s="2"/>
      <c r="F1116" s="2"/>
      <c r="G1116" s="2"/>
      <c r="H1116" s="2"/>
      <c r="I1116" s="2"/>
      <c r="J1116" s="2"/>
      <c r="K1116" s="43"/>
      <c r="L1116" s="2"/>
      <c r="M1116" s="2"/>
      <c r="N1116" s="2"/>
      <c r="O1116" s="13"/>
      <c r="P1116" s="13"/>
      <c r="Q1116" s="13"/>
      <c r="R1116" s="13"/>
      <c r="S1116" s="13"/>
      <c r="T1116" s="13"/>
      <c r="U1116" s="13"/>
    </row>
    <row r="1117" spans="1:22">
      <c r="A1117" s="10"/>
      <c r="B1117" s="2"/>
      <c r="C1117" s="2"/>
      <c r="D1117" s="2"/>
      <c r="E1117" s="2"/>
      <c r="F1117" s="2"/>
      <c r="G1117" s="2"/>
      <c r="H1117" s="2"/>
      <c r="I1117" s="2"/>
      <c r="J1117" s="2"/>
      <c r="K1117" s="43"/>
      <c r="L1117" s="2"/>
      <c r="M1117" s="2"/>
      <c r="N1117" s="2"/>
      <c r="O1117" s="13"/>
      <c r="P1117" s="13"/>
      <c r="Q1117" s="13"/>
      <c r="R1117" s="13"/>
      <c r="S1117" s="13"/>
      <c r="T1117" s="13"/>
      <c r="U1117" s="13"/>
    </row>
  </sheetData>
  <mergeCells count="153">
    <mergeCell ref="A1098:B1098"/>
    <mergeCell ref="S4:S5"/>
    <mergeCell ref="A1113:B1113"/>
    <mergeCell ref="A1100:B1100"/>
    <mergeCell ref="A1086:B1086"/>
    <mergeCell ref="A1089:B1089"/>
    <mergeCell ref="A1075:B1075"/>
    <mergeCell ref="A895:B895"/>
    <mergeCell ref="A898:B898"/>
    <mergeCell ref="A1095:B1095"/>
    <mergeCell ref="A778:B778"/>
    <mergeCell ref="A879:B879"/>
    <mergeCell ref="A870:B870"/>
    <mergeCell ref="A854:B854"/>
    <mergeCell ref="A806:B806"/>
    <mergeCell ref="A874:B874"/>
    <mergeCell ref="A839:B839"/>
    <mergeCell ref="A818:B818"/>
    <mergeCell ref="A802:B802"/>
    <mergeCell ref="A1091:B1091"/>
    <mergeCell ref="A812:B812"/>
    <mergeCell ref="A809:B809"/>
    <mergeCell ref="A832:B832"/>
    <mergeCell ref="A828:B828"/>
    <mergeCell ref="A479:B479"/>
    <mergeCell ref="A422:B422"/>
    <mergeCell ref="A137:B137"/>
    <mergeCell ref="A340:B340"/>
    <mergeCell ref="A313:B313"/>
    <mergeCell ref="A320:B320"/>
    <mergeCell ref="A359:B359"/>
    <mergeCell ref="A76:B76"/>
    <mergeCell ref="A74:B74"/>
    <mergeCell ref="A338:B338"/>
    <mergeCell ref="A81:B81"/>
    <mergeCell ref="A83:B83"/>
    <mergeCell ref="A103:B103"/>
    <mergeCell ref="A311:B311"/>
    <mergeCell ref="A133:B133"/>
    <mergeCell ref="A394:B394"/>
    <mergeCell ref="A405:B405"/>
    <mergeCell ref="A399:B399"/>
    <mergeCell ref="A383:B383"/>
    <mergeCell ref="A324:B324"/>
    <mergeCell ref="A396:B396"/>
    <mergeCell ref="A113:B113"/>
    <mergeCell ref="A131:B131"/>
    <mergeCell ref="A335:B335"/>
    <mergeCell ref="A331:B331"/>
    <mergeCell ref="A306:B306"/>
    <mergeCell ref="A362:B362"/>
    <mergeCell ref="A358:B358"/>
    <mergeCell ref="A357:U357"/>
    <mergeCell ref="A135:B135"/>
    <mergeCell ref="A342:B342"/>
    <mergeCell ref="A316:B316"/>
    <mergeCell ref="A30:B30"/>
    <mergeCell ref="A333:B333"/>
    <mergeCell ref="A8:B8"/>
    <mergeCell ref="A9:U9"/>
    <mergeCell ref="A10:B10"/>
    <mergeCell ref="A14:B14"/>
    <mergeCell ref="A32:B32"/>
    <mergeCell ref="A36:B36"/>
    <mergeCell ref="A121:B121"/>
    <mergeCell ref="A326:B326"/>
    <mergeCell ref="A79:B79"/>
    <mergeCell ref="A106:B106"/>
    <mergeCell ref="A69:B69"/>
    <mergeCell ref="A65:B65"/>
    <mergeCell ref="A67:B67"/>
    <mergeCell ref="A38:B38"/>
    <mergeCell ref="A44:B44"/>
    <mergeCell ref="A11:B11"/>
    <mergeCell ref="A72:B72"/>
    <mergeCell ref="A435:B435"/>
    <mergeCell ref="A428:B428"/>
    <mergeCell ref="A413:B413"/>
    <mergeCell ref="A728:B728"/>
    <mergeCell ref="A741:B741"/>
    <mergeCell ref="A1:U1"/>
    <mergeCell ref="A3:A6"/>
    <mergeCell ref="B3:B6"/>
    <mergeCell ref="A56:B56"/>
    <mergeCell ref="A34:B34"/>
    <mergeCell ref="A61:B61"/>
    <mergeCell ref="A59:B59"/>
    <mergeCell ref="A49:B49"/>
    <mergeCell ref="A41:B41"/>
    <mergeCell ref="D4:J4"/>
    <mergeCell ref="U4:U5"/>
    <mergeCell ref="T4:T5"/>
    <mergeCell ref="Q4:R5"/>
    <mergeCell ref="O4:P5"/>
    <mergeCell ref="M4:N5"/>
    <mergeCell ref="K4:L5"/>
    <mergeCell ref="C3:C5"/>
    <mergeCell ref="A54:B54"/>
    <mergeCell ref="D3:S3"/>
    <mergeCell ref="A747:B747"/>
    <mergeCell ref="A771:B771"/>
    <mergeCell ref="A757:B757"/>
    <mergeCell ref="A773:U773"/>
    <mergeCell ref="A753:B753"/>
    <mergeCell ref="A755:B755"/>
    <mergeCell ref="A510:B510"/>
    <mergeCell ref="A513:B513"/>
    <mergeCell ref="A1073:B1073"/>
    <mergeCell ref="A843:B843"/>
    <mergeCell ref="A826:B826"/>
    <mergeCell ref="A749:B749"/>
    <mergeCell ref="A1093:B1093"/>
    <mergeCell ref="A852:B852"/>
    <mergeCell ref="A1069:B1069"/>
    <mergeCell ref="A881:B881"/>
    <mergeCell ref="A892:B892"/>
    <mergeCell ref="A834:B834"/>
    <mergeCell ref="A774:B774"/>
    <mergeCell ref="A845:B845"/>
    <mergeCell ref="A847:B847"/>
    <mergeCell ref="A775:B775"/>
    <mergeCell ref="A821:B821"/>
    <mergeCell ref="A816:B816"/>
    <mergeCell ref="A799:B799"/>
    <mergeCell ref="A1071:B1071"/>
    <mergeCell ref="A1078:B1078"/>
    <mergeCell ref="A837:B837"/>
    <mergeCell ref="A841:B841"/>
    <mergeCell ref="A1082:B1082"/>
    <mergeCell ref="T3:U3"/>
    <mergeCell ref="A726:B726"/>
    <mergeCell ref="A743:B743"/>
    <mergeCell ref="A508:B508"/>
    <mergeCell ref="A492:B492"/>
    <mergeCell ref="A467:B467"/>
    <mergeCell ref="A425:B425"/>
    <mergeCell ref="A469:B469"/>
    <mergeCell ref="A432:B432"/>
    <mergeCell ref="A420:B420"/>
    <mergeCell ref="A328:B328"/>
    <mergeCell ref="A731:B731"/>
    <mergeCell ref="A722:B722"/>
    <mergeCell ref="A445:B445"/>
    <mergeCell ref="A515:B515"/>
    <mergeCell ref="A447:B447"/>
    <mergeCell ref="A488:B488"/>
    <mergeCell ref="A401:B401"/>
    <mergeCell ref="A385:B385"/>
    <mergeCell ref="A390:B390"/>
    <mergeCell ref="A415:B415"/>
    <mergeCell ref="A438:B438"/>
    <mergeCell ref="A417:B417"/>
    <mergeCell ref="A490:B490"/>
  </mergeCells>
  <printOptions horizontalCentered="1"/>
  <pageMargins left="0.70866141732283472" right="0.70866141732283472" top="0.74803149606299213" bottom="0.55118110236220474" header="0.31496062992125984" footer="0.31496062992125984"/>
  <pageSetup paperSize="9" scale="35" firstPageNumber="32" fitToHeight="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Прод. прилож</vt:lpstr>
      <vt:lpstr>'Прод. прилож'!Заголовки_для_печати</vt:lpstr>
      <vt:lpstr>'Прод. прилож'!Область_печати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Bulygina_AV</cp:lastModifiedBy>
  <cp:lastPrinted>2020-04-20T12:33:30Z</cp:lastPrinted>
  <dcterms:created xsi:type="dcterms:W3CDTF">2012-12-13T11:50:40Z</dcterms:created>
  <dcterms:modified xsi:type="dcterms:W3CDTF">2020-04-27T08:14:34Z</dcterms:modified>
</cp:coreProperties>
</file>