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2" yWindow="-408" windowWidth="23256" windowHeight="13176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прилож'!$A$1:$U$1184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788" i="13" l="1"/>
  <c r="T788" i="13"/>
  <c r="S788" i="13"/>
  <c r="R788" i="13"/>
  <c r="Q788" i="13"/>
  <c r="P788" i="13"/>
  <c r="O788" i="13"/>
  <c r="N788" i="13"/>
  <c r="M788" i="13"/>
  <c r="L788" i="13"/>
  <c r="K788" i="13"/>
  <c r="J788" i="13"/>
  <c r="I788" i="13"/>
  <c r="H788" i="13"/>
  <c r="G788" i="13"/>
  <c r="F788" i="13"/>
  <c r="E788" i="13"/>
  <c r="D788" i="13"/>
  <c r="C788" i="13"/>
  <c r="S796" i="13"/>
  <c r="R796" i="13"/>
  <c r="P796" i="13"/>
  <c r="N796" i="13"/>
  <c r="J796" i="13"/>
  <c r="I796" i="13"/>
  <c r="G796" i="13"/>
  <c r="F796" i="13"/>
  <c r="E796" i="13"/>
  <c r="D796" i="13" s="1"/>
  <c r="C796" i="13" s="1"/>
  <c r="N1087" i="13" l="1"/>
  <c r="C1087" i="13"/>
  <c r="V1087" i="13"/>
  <c r="D1087" i="13"/>
  <c r="D1137" i="13" l="1"/>
  <c r="V894" i="13" l="1"/>
  <c r="R894" i="13"/>
  <c r="J894" i="13"/>
  <c r="D894" i="13"/>
  <c r="C894" i="13" s="1"/>
  <c r="N1047" i="13" l="1"/>
  <c r="P843" i="13"/>
  <c r="U859" i="13" l="1"/>
  <c r="T859" i="13"/>
  <c r="S859" i="13"/>
  <c r="Q859" i="13"/>
  <c r="O859" i="13"/>
  <c r="M859" i="13"/>
  <c r="K859" i="13"/>
  <c r="N1004" i="13"/>
  <c r="V1004" i="13" s="1"/>
  <c r="D1004" i="13"/>
  <c r="N1005" i="13"/>
  <c r="V1005" i="13" s="1"/>
  <c r="D1005" i="13"/>
  <c r="N1003" i="13"/>
  <c r="V1003" i="13" s="1"/>
  <c r="D1003" i="13"/>
  <c r="C1004" i="13" l="1"/>
  <c r="C1005" i="13"/>
  <c r="C1003" i="13"/>
  <c r="R714" i="13" l="1"/>
  <c r="N714" i="13"/>
  <c r="E714" i="13"/>
  <c r="D714" i="13" s="1"/>
  <c r="C714" i="13" l="1"/>
  <c r="E858" i="13"/>
  <c r="N1040" i="13"/>
  <c r="E1062" i="13"/>
  <c r="I817" i="13" l="1"/>
  <c r="G817" i="13"/>
  <c r="F817" i="13"/>
  <c r="E817" i="13"/>
  <c r="F876" i="13"/>
  <c r="G876" i="13"/>
  <c r="U678" i="13"/>
  <c r="T678" i="13"/>
  <c r="S678" i="13"/>
  <c r="Q678" i="13"/>
  <c r="P678" i="13"/>
  <c r="O678" i="13"/>
  <c r="M678" i="13"/>
  <c r="L678" i="13"/>
  <c r="K678" i="13"/>
  <c r="U683" i="13"/>
  <c r="T683" i="13"/>
  <c r="S683" i="13"/>
  <c r="Q683" i="13"/>
  <c r="P683" i="13"/>
  <c r="O683" i="13"/>
  <c r="M683" i="13"/>
  <c r="L683" i="13"/>
  <c r="K683" i="13"/>
  <c r="U710" i="13"/>
  <c r="T710" i="13"/>
  <c r="S710" i="13"/>
  <c r="R710" i="13"/>
  <c r="Q710" i="13"/>
  <c r="P710" i="13"/>
  <c r="O710" i="13"/>
  <c r="M710" i="13"/>
  <c r="L710" i="13"/>
  <c r="K710" i="13"/>
  <c r="J710" i="13"/>
  <c r="I710" i="13"/>
  <c r="H710" i="13"/>
  <c r="G710" i="13"/>
  <c r="F710" i="13"/>
  <c r="E710" i="13"/>
  <c r="U712" i="13"/>
  <c r="T712" i="13"/>
  <c r="S712" i="13"/>
  <c r="Q712" i="13"/>
  <c r="P712" i="13"/>
  <c r="O712" i="13"/>
  <c r="M712" i="13"/>
  <c r="L712" i="13"/>
  <c r="K712" i="13"/>
  <c r="J712" i="13"/>
  <c r="I712" i="13"/>
  <c r="H712" i="13"/>
  <c r="G712" i="13"/>
  <c r="F712" i="13"/>
  <c r="U715" i="13"/>
  <c r="T715" i="13"/>
  <c r="S715" i="13"/>
  <c r="Q715" i="13"/>
  <c r="P715" i="13"/>
  <c r="O715" i="13"/>
  <c r="M715" i="13"/>
  <c r="L715" i="13"/>
  <c r="K715" i="13"/>
  <c r="J715" i="13"/>
  <c r="I715" i="13"/>
  <c r="H715" i="13"/>
  <c r="G715" i="13"/>
  <c r="F715" i="13"/>
  <c r="E715" i="13"/>
  <c r="U719" i="13"/>
  <c r="T719" i="13"/>
  <c r="S719" i="13"/>
  <c r="Q719" i="13"/>
  <c r="O719" i="13"/>
  <c r="N719" i="13"/>
  <c r="M719" i="13"/>
  <c r="L719" i="13"/>
  <c r="K719" i="13"/>
  <c r="J719" i="13"/>
  <c r="I719" i="13"/>
  <c r="H719" i="13"/>
  <c r="G719" i="13"/>
  <c r="F719" i="13"/>
  <c r="E719" i="13"/>
  <c r="U721" i="13"/>
  <c r="T721" i="13"/>
  <c r="S721" i="13"/>
  <c r="Q721" i="13"/>
  <c r="P721" i="13"/>
  <c r="O721" i="13"/>
  <c r="M721" i="13"/>
  <c r="L721" i="13"/>
  <c r="K721" i="13"/>
  <c r="U725" i="13"/>
  <c r="T725" i="13"/>
  <c r="S725" i="13"/>
  <c r="Q725" i="13"/>
  <c r="P725" i="13"/>
  <c r="O725" i="13"/>
  <c r="M725" i="13"/>
  <c r="L725" i="13"/>
  <c r="K725" i="13"/>
  <c r="I725" i="13"/>
  <c r="H725" i="13"/>
  <c r="G725" i="13"/>
  <c r="F725" i="13"/>
  <c r="U727" i="13"/>
  <c r="T727" i="13"/>
  <c r="S727" i="13"/>
  <c r="Q727" i="13"/>
  <c r="P727" i="13"/>
  <c r="O727" i="13"/>
  <c r="M727" i="13"/>
  <c r="L727" i="13"/>
  <c r="K727" i="13"/>
  <c r="H727" i="13"/>
  <c r="F727" i="13"/>
  <c r="U733" i="13"/>
  <c r="T733" i="13"/>
  <c r="S733" i="13"/>
  <c r="R733" i="13"/>
  <c r="Q733" i="13"/>
  <c r="P733" i="13"/>
  <c r="O733" i="13"/>
  <c r="M733" i="13"/>
  <c r="L733" i="13"/>
  <c r="K733" i="13"/>
  <c r="I733" i="13"/>
  <c r="G733" i="13"/>
  <c r="F733" i="13"/>
  <c r="U735" i="13"/>
  <c r="T735" i="13"/>
  <c r="S735" i="13"/>
  <c r="Q735" i="13"/>
  <c r="P735" i="13"/>
  <c r="O735" i="13"/>
  <c r="M735" i="13"/>
  <c r="L735" i="13"/>
  <c r="K735" i="13"/>
  <c r="J735" i="13"/>
  <c r="I735" i="13"/>
  <c r="H735" i="13"/>
  <c r="G735" i="13"/>
  <c r="F735" i="13"/>
  <c r="E735" i="13"/>
  <c r="U737" i="13"/>
  <c r="T737" i="13"/>
  <c r="S737" i="13"/>
  <c r="Q737" i="13"/>
  <c r="P737" i="13"/>
  <c r="O737" i="13"/>
  <c r="N737" i="13"/>
  <c r="M737" i="13"/>
  <c r="L737" i="13"/>
  <c r="K737" i="13"/>
  <c r="J737" i="13"/>
  <c r="I737" i="13"/>
  <c r="H737" i="13"/>
  <c r="G737" i="13"/>
  <c r="F737" i="13"/>
  <c r="E737" i="13"/>
  <c r="U741" i="13"/>
  <c r="T741" i="13"/>
  <c r="S741" i="13"/>
  <c r="Q741" i="13"/>
  <c r="P741" i="13"/>
  <c r="O741" i="13"/>
  <c r="M741" i="13"/>
  <c r="L741" i="13"/>
  <c r="K741" i="13"/>
  <c r="J741" i="13"/>
  <c r="I741" i="13"/>
  <c r="H741" i="13"/>
  <c r="G741" i="13"/>
  <c r="F741" i="13"/>
  <c r="E741" i="13"/>
  <c r="U746" i="13"/>
  <c r="T746" i="13"/>
  <c r="S746" i="13"/>
  <c r="Q746" i="13"/>
  <c r="P746" i="13"/>
  <c r="O746" i="13"/>
  <c r="M746" i="13"/>
  <c r="L746" i="13"/>
  <c r="K746" i="13"/>
  <c r="J746" i="13"/>
  <c r="I746" i="13"/>
  <c r="H746" i="13"/>
  <c r="G746" i="13"/>
  <c r="F746" i="13"/>
  <c r="E746" i="13"/>
  <c r="U748" i="13"/>
  <c r="T748" i="13"/>
  <c r="S748" i="13"/>
  <c r="Q748" i="13"/>
  <c r="P748" i="13"/>
  <c r="O748" i="13"/>
  <c r="M748" i="13"/>
  <c r="L748" i="13"/>
  <c r="K748" i="13"/>
  <c r="J748" i="13"/>
  <c r="U754" i="13"/>
  <c r="T754" i="13"/>
  <c r="S754" i="13"/>
  <c r="Q754" i="13"/>
  <c r="P754" i="13"/>
  <c r="O754" i="13"/>
  <c r="N754" i="13"/>
  <c r="M754" i="13"/>
  <c r="L754" i="13"/>
  <c r="K754" i="13"/>
  <c r="J754" i="13"/>
  <c r="H754" i="13"/>
  <c r="F754" i="13"/>
  <c r="U756" i="13"/>
  <c r="T756" i="13"/>
  <c r="S756" i="13"/>
  <c r="Q756" i="13"/>
  <c r="P756" i="13"/>
  <c r="O756" i="13"/>
  <c r="M756" i="13"/>
  <c r="L756" i="13"/>
  <c r="K756" i="13"/>
  <c r="J756" i="13"/>
  <c r="I756" i="13"/>
  <c r="H756" i="13"/>
  <c r="G756" i="13"/>
  <c r="F756" i="13"/>
  <c r="E756" i="13"/>
  <c r="U762" i="13"/>
  <c r="T762" i="13"/>
  <c r="S762" i="13"/>
  <c r="Q762" i="13"/>
  <c r="P762" i="13"/>
  <c r="O762" i="13"/>
  <c r="M762" i="13"/>
  <c r="L762" i="13"/>
  <c r="K762" i="13"/>
  <c r="J762" i="13"/>
  <c r="I762" i="13"/>
  <c r="H762" i="13"/>
  <c r="G762" i="13"/>
  <c r="F762" i="13"/>
  <c r="E762" i="13"/>
  <c r="U764" i="13"/>
  <c r="T764" i="13"/>
  <c r="S764" i="13"/>
  <c r="Q764" i="13"/>
  <c r="P764" i="13"/>
  <c r="O764" i="13"/>
  <c r="M764" i="13"/>
  <c r="L764" i="13"/>
  <c r="K764" i="13"/>
  <c r="J764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8" i="13"/>
  <c r="T768" i="13"/>
  <c r="S768" i="13"/>
  <c r="Q768" i="13"/>
  <c r="P768" i="13"/>
  <c r="O768" i="13"/>
  <c r="M768" i="13"/>
  <c r="L768" i="13"/>
  <c r="K768" i="13"/>
  <c r="J768" i="13"/>
  <c r="I768" i="13"/>
  <c r="H768" i="13"/>
  <c r="G768" i="13"/>
  <c r="F768" i="13"/>
  <c r="E768" i="13"/>
  <c r="U770" i="13"/>
  <c r="T770" i="13"/>
  <c r="S770" i="13"/>
  <c r="Q770" i="13"/>
  <c r="P770" i="13"/>
  <c r="O770" i="13"/>
  <c r="N770" i="13"/>
  <c r="M770" i="13"/>
  <c r="L770" i="13"/>
  <c r="K770" i="13"/>
  <c r="J770" i="13"/>
  <c r="I770" i="13"/>
  <c r="H770" i="13"/>
  <c r="G770" i="13"/>
  <c r="F770" i="13"/>
  <c r="E770" i="13"/>
  <c r="U772" i="13"/>
  <c r="T772" i="13"/>
  <c r="S772" i="13"/>
  <c r="Q772" i="13"/>
  <c r="P772" i="13"/>
  <c r="O772" i="13"/>
  <c r="M772" i="13"/>
  <c r="L772" i="13"/>
  <c r="K772" i="13"/>
  <c r="J772" i="13"/>
  <c r="I772" i="13"/>
  <c r="H772" i="13"/>
  <c r="G772" i="13"/>
  <c r="F772" i="13"/>
  <c r="E772" i="13"/>
  <c r="U775" i="13"/>
  <c r="T775" i="13"/>
  <c r="S775" i="13"/>
  <c r="Q775" i="13"/>
  <c r="O775" i="13"/>
  <c r="M775" i="13"/>
  <c r="L775" i="13"/>
  <c r="K775" i="13"/>
  <c r="J775" i="13"/>
  <c r="I775" i="13"/>
  <c r="H775" i="13"/>
  <c r="G775" i="13"/>
  <c r="F775" i="13"/>
  <c r="U777" i="13"/>
  <c r="T777" i="13"/>
  <c r="S777" i="13"/>
  <c r="Q777" i="13"/>
  <c r="P777" i="13"/>
  <c r="O777" i="13"/>
  <c r="M777" i="13"/>
  <c r="L777" i="13"/>
  <c r="K777" i="13"/>
  <c r="J777" i="13"/>
  <c r="H777" i="13"/>
  <c r="U784" i="13"/>
  <c r="T784" i="13"/>
  <c r="S784" i="13"/>
  <c r="Q784" i="13"/>
  <c r="P784" i="13"/>
  <c r="O784" i="13"/>
  <c r="M784" i="13"/>
  <c r="L784" i="13"/>
  <c r="K784" i="13"/>
  <c r="J784" i="13"/>
  <c r="I784" i="13"/>
  <c r="H784" i="13"/>
  <c r="G784" i="13"/>
  <c r="F784" i="13"/>
  <c r="E784" i="13"/>
  <c r="U786" i="13"/>
  <c r="T786" i="13"/>
  <c r="S786" i="13"/>
  <c r="Q786" i="13"/>
  <c r="P786" i="13"/>
  <c r="O786" i="13"/>
  <c r="M786" i="13"/>
  <c r="L786" i="13"/>
  <c r="K786" i="13"/>
  <c r="J786" i="13"/>
  <c r="I786" i="13"/>
  <c r="H786" i="13"/>
  <c r="G786" i="13"/>
  <c r="F786" i="13"/>
  <c r="E786" i="13"/>
  <c r="U677" i="13"/>
  <c r="T677" i="13"/>
  <c r="Q677" i="13"/>
  <c r="O677" i="13"/>
  <c r="L677" i="13"/>
  <c r="K677" i="13"/>
  <c r="U806" i="13"/>
  <c r="T806" i="13"/>
  <c r="S806" i="13"/>
  <c r="Q806" i="13"/>
  <c r="P806" i="13"/>
  <c r="O806" i="13"/>
  <c r="M806" i="13"/>
  <c r="L806" i="13"/>
  <c r="K806" i="13"/>
  <c r="U808" i="13"/>
  <c r="T808" i="13"/>
  <c r="S808" i="13"/>
  <c r="Q808" i="13"/>
  <c r="P808" i="13"/>
  <c r="O808" i="13"/>
  <c r="M808" i="13"/>
  <c r="L808" i="13"/>
  <c r="K808" i="13"/>
  <c r="U818" i="13"/>
  <c r="T818" i="13"/>
  <c r="S818" i="13"/>
  <c r="Q818" i="13"/>
  <c r="P818" i="13"/>
  <c r="O818" i="13"/>
  <c r="M818" i="13"/>
  <c r="L818" i="13"/>
  <c r="K818" i="13"/>
  <c r="U827" i="13"/>
  <c r="T827" i="13"/>
  <c r="S827" i="13"/>
  <c r="Q827" i="13"/>
  <c r="P827" i="13"/>
  <c r="O827" i="13"/>
  <c r="M827" i="13"/>
  <c r="L827" i="13"/>
  <c r="K827" i="13"/>
  <c r="H827" i="13"/>
  <c r="U831" i="13"/>
  <c r="T831" i="13"/>
  <c r="S831" i="13"/>
  <c r="Q831" i="13"/>
  <c r="O831" i="13"/>
  <c r="M831" i="13"/>
  <c r="L831" i="13"/>
  <c r="K831" i="13"/>
  <c r="U849" i="13"/>
  <c r="T849" i="13"/>
  <c r="S849" i="13"/>
  <c r="R849" i="13"/>
  <c r="Q849" i="13"/>
  <c r="P849" i="13"/>
  <c r="O849" i="13"/>
  <c r="M849" i="13"/>
  <c r="L849" i="13"/>
  <c r="K849" i="13"/>
  <c r="I849" i="13"/>
  <c r="H849" i="13"/>
  <c r="G849" i="13"/>
  <c r="F849" i="13"/>
  <c r="E849" i="13"/>
  <c r="U851" i="13"/>
  <c r="T851" i="13"/>
  <c r="S851" i="13"/>
  <c r="Q851" i="13"/>
  <c r="P851" i="13"/>
  <c r="O851" i="13"/>
  <c r="M851" i="13"/>
  <c r="L851" i="13"/>
  <c r="K851" i="13"/>
  <c r="I851" i="13"/>
  <c r="H851" i="13"/>
  <c r="U854" i="13"/>
  <c r="T854" i="13"/>
  <c r="S854" i="13"/>
  <c r="Q854" i="13"/>
  <c r="P854" i="13"/>
  <c r="O854" i="13"/>
  <c r="M854" i="13"/>
  <c r="L854" i="13"/>
  <c r="K854" i="13"/>
  <c r="J854" i="13"/>
  <c r="I854" i="13"/>
  <c r="H854" i="13"/>
  <c r="G854" i="13"/>
  <c r="F854" i="13"/>
  <c r="U857" i="13"/>
  <c r="T857" i="13"/>
  <c r="S857" i="13"/>
  <c r="R857" i="13"/>
  <c r="Q857" i="13"/>
  <c r="P857" i="13"/>
  <c r="O857" i="13"/>
  <c r="M857" i="13"/>
  <c r="L857" i="13"/>
  <c r="K857" i="13"/>
  <c r="I857" i="13"/>
  <c r="G857" i="13"/>
  <c r="E857" i="13"/>
  <c r="U1103" i="13"/>
  <c r="T1103" i="13"/>
  <c r="S1103" i="13"/>
  <c r="Q1103" i="13"/>
  <c r="P1103" i="13"/>
  <c r="O1103" i="13"/>
  <c r="N1103" i="13"/>
  <c r="M1103" i="13"/>
  <c r="L1103" i="13"/>
  <c r="K1103" i="13"/>
  <c r="H1103" i="13"/>
  <c r="U1105" i="13"/>
  <c r="T1105" i="13"/>
  <c r="S1105" i="13"/>
  <c r="Q1105" i="13"/>
  <c r="P1105" i="13"/>
  <c r="O1105" i="13"/>
  <c r="M1105" i="13"/>
  <c r="L1105" i="13"/>
  <c r="K1105" i="13"/>
  <c r="J1105" i="13"/>
  <c r="F1105" i="13"/>
  <c r="E1105" i="13"/>
  <c r="U1107" i="13"/>
  <c r="T1107" i="13"/>
  <c r="S1107" i="13"/>
  <c r="Q1107" i="13"/>
  <c r="P1107" i="13"/>
  <c r="O1107" i="13"/>
  <c r="M1107" i="13"/>
  <c r="L1107" i="13"/>
  <c r="K1107" i="13"/>
  <c r="U1110" i="13"/>
  <c r="T1110" i="13"/>
  <c r="S1110" i="13"/>
  <c r="Q1110" i="13"/>
  <c r="P1110" i="13"/>
  <c r="O1110" i="13"/>
  <c r="N1110" i="13"/>
  <c r="M1110" i="13"/>
  <c r="L1110" i="13"/>
  <c r="K1110" i="13"/>
  <c r="J1110" i="13"/>
  <c r="G1110" i="13"/>
  <c r="U1112" i="13"/>
  <c r="T1112" i="13"/>
  <c r="S1112" i="13"/>
  <c r="Q1112" i="13"/>
  <c r="P1112" i="13"/>
  <c r="O1112" i="13"/>
  <c r="M1112" i="13"/>
  <c r="L1112" i="13"/>
  <c r="K1112" i="13"/>
  <c r="J1112" i="13"/>
  <c r="I1112" i="13"/>
  <c r="H1112" i="13"/>
  <c r="G1112" i="13"/>
  <c r="F1112" i="13"/>
  <c r="E1112" i="13"/>
  <c r="U1115" i="13"/>
  <c r="T1115" i="13"/>
  <c r="S1115" i="13"/>
  <c r="Q1115" i="13"/>
  <c r="P1115" i="13"/>
  <c r="O1115" i="13"/>
  <c r="M1115" i="13"/>
  <c r="L1115" i="13"/>
  <c r="K1115" i="13"/>
  <c r="J1115" i="13"/>
  <c r="I1115" i="13"/>
  <c r="H1115" i="13"/>
  <c r="G1115" i="13"/>
  <c r="F1115" i="13"/>
  <c r="E1115" i="13"/>
  <c r="U1117" i="13"/>
  <c r="T1117" i="13"/>
  <c r="S1117" i="13"/>
  <c r="Q1117" i="13"/>
  <c r="P1117" i="13"/>
  <c r="O1117" i="13"/>
  <c r="M1117" i="13"/>
  <c r="L1117" i="13"/>
  <c r="K1117" i="13"/>
  <c r="J1117" i="13"/>
  <c r="H1117" i="13"/>
  <c r="F1117" i="13"/>
  <c r="U1121" i="13"/>
  <c r="T1121" i="13"/>
  <c r="S1121" i="13"/>
  <c r="Q1121" i="13"/>
  <c r="P1121" i="13"/>
  <c r="O1121" i="13"/>
  <c r="M1121" i="13"/>
  <c r="L1121" i="13"/>
  <c r="K1121" i="13"/>
  <c r="J1121" i="13"/>
  <c r="U1127" i="13"/>
  <c r="T1127" i="13"/>
  <c r="S1127" i="13"/>
  <c r="Q1127" i="13"/>
  <c r="P1127" i="13"/>
  <c r="O1127" i="13"/>
  <c r="M1127" i="13"/>
  <c r="L1127" i="13"/>
  <c r="K1127" i="13"/>
  <c r="J1127" i="13"/>
  <c r="I1127" i="13"/>
  <c r="H1127" i="13"/>
  <c r="G1127" i="13"/>
  <c r="F1127" i="13"/>
  <c r="U1129" i="13"/>
  <c r="T1129" i="13"/>
  <c r="S1129" i="13"/>
  <c r="Q1129" i="13"/>
  <c r="P1129" i="13"/>
  <c r="O1129" i="13"/>
  <c r="M1129" i="13"/>
  <c r="L1129" i="13"/>
  <c r="K1129" i="13"/>
  <c r="J1129" i="13"/>
  <c r="I1129" i="13"/>
  <c r="H1129" i="13"/>
  <c r="G1129" i="13"/>
  <c r="F1129" i="13"/>
  <c r="U1134" i="13"/>
  <c r="T1134" i="13"/>
  <c r="S1134" i="13"/>
  <c r="Q1134" i="13"/>
  <c r="P1134" i="13"/>
  <c r="O1134" i="13"/>
  <c r="M1134" i="13"/>
  <c r="L1134" i="13"/>
  <c r="K1134" i="13"/>
  <c r="J1134" i="13"/>
  <c r="I1134" i="13"/>
  <c r="H1134" i="13"/>
  <c r="G1134" i="13"/>
  <c r="F1134" i="13"/>
  <c r="E1134" i="13"/>
  <c r="U1136" i="13"/>
  <c r="T1136" i="13"/>
  <c r="S1136" i="13"/>
  <c r="Q1136" i="13"/>
  <c r="P1136" i="13"/>
  <c r="O1136" i="13"/>
  <c r="N1136" i="13"/>
  <c r="M1136" i="13"/>
  <c r="L1136" i="13"/>
  <c r="K1136" i="13"/>
  <c r="J1136" i="13"/>
  <c r="H1136" i="13"/>
  <c r="U1138" i="13"/>
  <c r="T1138" i="13"/>
  <c r="S1138" i="13"/>
  <c r="Q1138" i="13"/>
  <c r="P1138" i="13"/>
  <c r="O1138" i="13"/>
  <c r="M1138" i="13"/>
  <c r="L1138" i="13"/>
  <c r="K1138" i="13"/>
  <c r="J1138" i="13"/>
  <c r="I1138" i="13"/>
  <c r="H1138" i="13"/>
  <c r="G1138" i="13"/>
  <c r="U1141" i="13"/>
  <c r="T1141" i="13"/>
  <c r="S1141" i="13"/>
  <c r="Q1141" i="13"/>
  <c r="P1141" i="13"/>
  <c r="O1141" i="13"/>
  <c r="M1141" i="13"/>
  <c r="L1141" i="13"/>
  <c r="K1141" i="13"/>
  <c r="J1141" i="13"/>
  <c r="H1141" i="13"/>
  <c r="U1145" i="13"/>
  <c r="T1145" i="13"/>
  <c r="S1145" i="13"/>
  <c r="Q1145" i="13"/>
  <c r="P1145" i="13"/>
  <c r="O1145" i="13"/>
  <c r="M1145" i="13"/>
  <c r="L1145" i="13"/>
  <c r="K1145" i="13"/>
  <c r="J1145" i="13"/>
  <c r="I1145" i="13"/>
  <c r="H1145" i="13"/>
  <c r="G1145" i="13"/>
  <c r="F1145" i="13"/>
  <c r="E1145" i="13"/>
  <c r="U1147" i="13"/>
  <c r="T1147" i="13"/>
  <c r="S1147" i="13"/>
  <c r="Q1147" i="13"/>
  <c r="P1147" i="13"/>
  <c r="O1147" i="13"/>
  <c r="N1147" i="13"/>
  <c r="M1147" i="13"/>
  <c r="L1147" i="13"/>
  <c r="K1147" i="13"/>
  <c r="J1147" i="13"/>
  <c r="H1147" i="13"/>
  <c r="F1147" i="13"/>
  <c r="U1149" i="13"/>
  <c r="T1149" i="13"/>
  <c r="S1149" i="13"/>
  <c r="R1149" i="13"/>
  <c r="Q1149" i="13"/>
  <c r="P1149" i="13"/>
  <c r="O1149" i="13"/>
  <c r="M1149" i="13"/>
  <c r="L1149" i="13"/>
  <c r="K1149" i="13"/>
  <c r="I1149" i="13"/>
  <c r="H1149" i="13"/>
  <c r="G1149" i="13"/>
  <c r="F1149" i="13"/>
  <c r="E1149" i="13"/>
  <c r="U1151" i="13"/>
  <c r="T1151" i="13"/>
  <c r="S1151" i="13"/>
  <c r="Q1151" i="13"/>
  <c r="P1151" i="13"/>
  <c r="O1151" i="13"/>
  <c r="M1151" i="13"/>
  <c r="L1151" i="13"/>
  <c r="K1151" i="13"/>
  <c r="J1151" i="13"/>
  <c r="U1177" i="13"/>
  <c r="T1177" i="13"/>
  <c r="S1177" i="13"/>
  <c r="Q1177" i="13"/>
  <c r="P1177" i="13"/>
  <c r="O1177" i="13"/>
  <c r="M1177" i="13"/>
  <c r="L1177" i="13"/>
  <c r="K1177" i="13"/>
  <c r="J1177" i="13"/>
  <c r="I1177" i="13"/>
  <c r="H1177" i="13"/>
  <c r="G1177" i="13"/>
  <c r="F1177" i="13"/>
  <c r="E1177" i="13"/>
  <c r="U1181" i="13"/>
  <c r="T1181" i="13"/>
  <c r="S1181" i="13"/>
  <c r="Q1181" i="13"/>
  <c r="P1181" i="13"/>
  <c r="O1181" i="13"/>
  <c r="M1181" i="13"/>
  <c r="L1181" i="13"/>
  <c r="K1181" i="13"/>
  <c r="J1181" i="13"/>
  <c r="I1181" i="13"/>
  <c r="H1181" i="13"/>
  <c r="G1181" i="13"/>
  <c r="F1181" i="13"/>
  <c r="U1183" i="13"/>
  <c r="T1183" i="13"/>
  <c r="S1183" i="13"/>
  <c r="Q1183" i="13"/>
  <c r="P1183" i="13"/>
  <c r="O1183" i="13"/>
  <c r="M1183" i="13"/>
  <c r="L1183" i="13"/>
  <c r="K1183" i="13"/>
  <c r="J1183" i="13"/>
  <c r="I765" i="13"/>
  <c r="I764" i="13" s="1"/>
  <c r="H765" i="13"/>
  <c r="H764" i="13" s="1"/>
  <c r="G765" i="13"/>
  <c r="G764" i="13" s="1"/>
  <c r="F765" i="13"/>
  <c r="F764" i="13" s="1"/>
  <c r="E765" i="13"/>
  <c r="E764" i="13" s="1"/>
  <c r="I1137" i="13"/>
  <c r="I1136" i="13" s="1"/>
  <c r="G1137" i="13"/>
  <c r="G1136" i="13" s="1"/>
  <c r="F1137" i="13"/>
  <c r="F1136" i="13" s="1"/>
  <c r="E1137" i="13"/>
  <c r="E1136" i="13" s="1"/>
  <c r="M677" i="13" l="1"/>
  <c r="N1152" i="13"/>
  <c r="D1153" i="13"/>
  <c r="V1175" i="13"/>
  <c r="I1175" i="13"/>
  <c r="H1175" i="13"/>
  <c r="G1175" i="13"/>
  <c r="F1175" i="13"/>
  <c r="E1175" i="13"/>
  <c r="N1106" i="13"/>
  <c r="N1105" i="13" s="1"/>
  <c r="R1106" i="13"/>
  <c r="R1105" i="13" s="1"/>
  <c r="I1106" i="13"/>
  <c r="I1105" i="13" s="1"/>
  <c r="H1106" i="13"/>
  <c r="H1105" i="13" s="1"/>
  <c r="G1106" i="13"/>
  <c r="G1105" i="13" s="1"/>
  <c r="N906" i="13"/>
  <c r="N1143" i="13"/>
  <c r="N1159" i="13"/>
  <c r="E1159" i="13"/>
  <c r="I1159" i="13"/>
  <c r="G1159" i="13"/>
  <c r="D1152" i="13" l="1"/>
  <c r="D1175" i="13"/>
  <c r="C1175" i="13" s="1"/>
  <c r="D1106" i="13"/>
  <c r="D1105" i="13" s="1"/>
  <c r="V1106" i="13"/>
  <c r="I1061" i="13"/>
  <c r="F1061" i="13"/>
  <c r="G1061" i="13"/>
  <c r="C1152" i="13" l="1"/>
  <c r="C1106" i="13"/>
  <c r="C1105" i="13" s="1"/>
  <c r="I1111" i="13"/>
  <c r="I1110" i="13" s="1"/>
  <c r="H1111" i="13"/>
  <c r="H1110" i="13" s="1"/>
  <c r="F1111" i="13"/>
  <c r="F1110" i="13" s="1"/>
  <c r="E1111" i="13"/>
  <c r="E1110" i="13" s="1"/>
  <c r="I777" i="13"/>
  <c r="G777" i="13"/>
  <c r="F777" i="13"/>
  <c r="E777" i="13"/>
  <c r="I1142" i="13"/>
  <c r="I1141" i="13" s="1"/>
  <c r="G1142" i="13"/>
  <c r="G1141" i="13" s="1"/>
  <c r="F1142" i="13"/>
  <c r="F1141" i="13" s="1"/>
  <c r="E1142" i="13"/>
  <c r="E1141" i="13" s="1"/>
  <c r="I1109" i="13"/>
  <c r="G1109" i="13"/>
  <c r="F1109" i="13"/>
  <c r="E1109" i="13"/>
  <c r="I973" i="13"/>
  <c r="H973" i="13"/>
  <c r="G973" i="13"/>
  <c r="F973" i="13"/>
  <c r="E973" i="13"/>
  <c r="I1094" i="13"/>
  <c r="H1094" i="13"/>
  <c r="G1094" i="13"/>
  <c r="F1094" i="13"/>
  <c r="E1094" i="13"/>
  <c r="I1092" i="13"/>
  <c r="H1092" i="13"/>
  <c r="G1092" i="13"/>
  <c r="F1092" i="13"/>
  <c r="E1092" i="13"/>
  <c r="I1093" i="13"/>
  <c r="H1093" i="13"/>
  <c r="G1093" i="13"/>
  <c r="F1093" i="13"/>
  <c r="E1093" i="13"/>
  <c r="I1167" i="13"/>
  <c r="G1167" i="13"/>
  <c r="F1167" i="13"/>
  <c r="E1167" i="13"/>
  <c r="I1168" i="13"/>
  <c r="G1168" i="13"/>
  <c r="F1168" i="13"/>
  <c r="E1168" i="13"/>
  <c r="I1165" i="13"/>
  <c r="G1165" i="13"/>
  <c r="F1165" i="13"/>
  <c r="E1165" i="13"/>
  <c r="I1164" i="13"/>
  <c r="G1164" i="13"/>
  <c r="F1164" i="13"/>
  <c r="E1164" i="13"/>
  <c r="I751" i="13" l="1"/>
  <c r="I748" i="13" s="1"/>
  <c r="H751" i="13"/>
  <c r="H748" i="13" s="1"/>
  <c r="G751" i="13"/>
  <c r="G748" i="13" s="1"/>
  <c r="F751" i="13"/>
  <c r="F748" i="13" s="1"/>
  <c r="E751" i="13"/>
  <c r="E748" i="13" s="1"/>
  <c r="I876" i="13"/>
  <c r="E876" i="13"/>
  <c r="I1062" i="13"/>
  <c r="H1062" i="13"/>
  <c r="G1062" i="13"/>
  <c r="F1062" i="13"/>
  <c r="E1123" i="13" l="1"/>
  <c r="V1159" i="13" l="1"/>
  <c r="H1159" i="13"/>
  <c r="D1159" i="13" s="1"/>
  <c r="C1159" i="13" s="1"/>
  <c r="R1158" i="13"/>
  <c r="N1158" i="13"/>
  <c r="V1158" i="13" s="1"/>
  <c r="I1158" i="13"/>
  <c r="H1158" i="13"/>
  <c r="G1158" i="13"/>
  <c r="F1158" i="13"/>
  <c r="E1158" i="13"/>
  <c r="N1157" i="13"/>
  <c r="V1157" i="13" s="1"/>
  <c r="I1157" i="13"/>
  <c r="H1157" i="13"/>
  <c r="G1157" i="13"/>
  <c r="F1157" i="13"/>
  <c r="E1157" i="13"/>
  <c r="R1156" i="13"/>
  <c r="N1156" i="13"/>
  <c r="V1156" i="13" s="1"/>
  <c r="H1156" i="13"/>
  <c r="D1156" i="13" s="1"/>
  <c r="N1155" i="13"/>
  <c r="V1155" i="13" s="1"/>
  <c r="H1155" i="13"/>
  <c r="E1155" i="13"/>
  <c r="N1162" i="13"/>
  <c r="V1162" i="13" s="1"/>
  <c r="I1162" i="13"/>
  <c r="H1162" i="13"/>
  <c r="G1162" i="13"/>
  <c r="F1162" i="13"/>
  <c r="N1161" i="13"/>
  <c r="V1161" i="13" s="1"/>
  <c r="I1161" i="13"/>
  <c r="H1161" i="13"/>
  <c r="G1161" i="13"/>
  <c r="R837" i="13"/>
  <c r="V837" i="13"/>
  <c r="J837" i="13"/>
  <c r="I837" i="13"/>
  <c r="H837" i="13"/>
  <c r="G837" i="13"/>
  <c r="F837" i="13"/>
  <c r="D1155" i="13" l="1"/>
  <c r="C1155" i="13" s="1"/>
  <c r="D1162" i="13"/>
  <c r="C1162" i="13" s="1"/>
  <c r="D1161" i="13"/>
  <c r="C1161" i="13" s="1"/>
  <c r="D837" i="13"/>
  <c r="C837" i="13" s="1"/>
  <c r="D1157" i="13"/>
  <c r="C1157" i="13" s="1"/>
  <c r="D1158" i="13"/>
  <c r="C1158" i="13" s="1"/>
  <c r="C1156" i="13"/>
  <c r="I1104" i="13"/>
  <c r="I1103" i="13" s="1"/>
  <c r="G1104" i="13"/>
  <c r="G1103" i="13" s="1"/>
  <c r="F1104" i="13"/>
  <c r="F1103" i="13" s="1"/>
  <c r="E1104" i="13"/>
  <c r="E1103" i="13" s="1"/>
  <c r="I832" i="13"/>
  <c r="G832" i="13"/>
  <c r="F832" i="13"/>
  <c r="E832" i="13"/>
  <c r="I907" i="13"/>
  <c r="H907" i="13"/>
  <c r="G907" i="13"/>
  <c r="F907" i="13"/>
  <c r="E907" i="13"/>
  <c r="I822" i="13"/>
  <c r="G822" i="13"/>
  <c r="E822" i="13"/>
  <c r="I823" i="13"/>
  <c r="G823" i="13"/>
  <c r="E823" i="13"/>
  <c r="E826" i="13"/>
  <c r="I821" i="13"/>
  <c r="G821" i="13"/>
  <c r="E821" i="13"/>
  <c r="I830" i="13"/>
  <c r="G830" i="13"/>
  <c r="F830" i="13"/>
  <c r="F827" i="13" s="1"/>
  <c r="E830" i="13"/>
  <c r="I722" i="13"/>
  <c r="E722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14" i="13"/>
  <c r="D1014" i="13"/>
  <c r="V965" i="13"/>
  <c r="D965" i="13"/>
  <c r="C1014" i="13" l="1"/>
  <c r="C965" i="13"/>
  <c r="N734" i="13"/>
  <c r="N733" i="13" s="1"/>
  <c r="E734" i="13"/>
  <c r="E733" i="13" s="1"/>
  <c r="R820" i="13" l="1"/>
  <c r="N820" i="13"/>
  <c r="V820" i="13" s="1"/>
  <c r="J820" i="13"/>
  <c r="I820" i="13"/>
  <c r="H820" i="13"/>
  <c r="G820" i="13"/>
  <c r="F820" i="13"/>
  <c r="F819" i="13"/>
  <c r="G819" i="13"/>
  <c r="R819" i="13"/>
  <c r="N819" i="13"/>
  <c r="J819" i="13"/>
  <c r="I819" i="13"/>
  <c r="H819" i="13"/>
  <c r="N931" i="13"/>
  <c r="V931" i="13" s="1"/>
  <c r="D931" i="13"/>
  <c r="R1184" i="13"/>
  <c r="R1183" i="13" s="1"/>
  <c r="N1184" i="13"/>
  <c r="N1183" i="13" s="1"/>
  <c r="E1183" i="13"/>
  <c r="R1130" i="13"/>
  <c r="N1130" i="13"/>
  <c r="E1126" i="13"/>
  <c r="E1121" i="13" s="1"/>
  <c r="F1126" i="13"/>
  <c r="F1121" i="13" s="1"/>
  <c r="I1126" i="13"/>
  <c r="I1121" i="13" s="1"/>
  <c r="V1126" i="13"/>
  <c r="H1126" i="13"/>
  <c r="H1121" i="13" s="1"/>
  <c r="G1126" i="13"/>
  <c r="G1121" i="13" s="1"/>
  <c r="N1125" i="13"/>
  <c r="V1125" i="13" s="1"/>
  <c r="R1125" i="13"/>
  <c r="D1125" i="13"/>
  <c r="R1124" i="13"/>
  <c r="N1124" i="13"/>
  <c r="R1066" i="13"/>
  <c r="N1066" i="13"/>
  <c r="I1066" i="13"/>
  <c r="F1066" i="13"/>
  <c r="E1066" i="13"/>
  <c r="N1065" i="13"/>
  <c r="D1061" i="13"/>
  <c r="V1061" i="13"/>
  <c r="R1061" i="13"/>
  <c r="I1060" i="13"/>
  <c r="F1060" i="13"/>
  <c r="V1060" i="13"/>
  <c r="R1060" i="13"/>
  <c r="H1060" i="13"/>
  <c r="G1060" i="13"/>
  <c r="F1059" i="13"/>
  <c r="I1059" i="13"/>
  <c r="V1059" i="13"/>
  <c r="R1059" i="13"/>
  <c r="H1059" i="13"/>
  <c r="G1059" i="13"/>
  <c r="E1053" i="13"/>
  <c r="F1053" i="13"/>
  <c r="I1053" i="13"/>
  <c r="V1053" i="13"/>
  <c r="H1053" i="13"/>
  <c r="G1053" i="13"/>
  <c r="R983" i="13"/>
  <c r="N983" i="13"/>
  <c r="I983" i="13"/>
  <c r="F983" i="13"/>
  <c r="E983" i="13"/>
  <c r="N951" i="13"/>
  <c r="E951" i="13"/>
  <c r="F945" i="13"/>
  <c r="I945" i="13"/>
  <c r="V945" i="13"/>
  <c r="R945" i="13"/>
  <c r="J945" i="13"/>
  <c r="H945" i="13"/>
  <c r="G945" i="13"/>
  <c r="I922" i="13"/>
  <c r="F922" i="13"/>
  <c r="N908" i="13"/>
  <c r="I893" i="13"/>
  <c r="G893" i="13"/>
  <c r="F893" i="13"/>
  <c r="I882" i="13"/>
  <c r="F882" i="13"/>
  <c r="R881" i="13"/>
  <c r="I881" i="13"/>
  <c r="F881" i="13"/>
  <c r="E881" i="13"/>
  <c r="R879" i="13"/>
  <c r="N879" i="13"/>
  <c r="I879" i="13"/>
  <c r="F879" i="13"/>
  <c r="E879" i="13"/>
  <c r="N878" i="13"/>
  <c r="R872" i="13"/>
  <c r="I872" i="13"/>
  <c r="F872" i="13"/>
  <c r="R861" i="13"/>
  <c r="I861" i="13"/>
  <c r="F861" i="13"/>
  <c r="E861" i="13"/>
  <c r="R840" i="13"/>
  <c r="N840" i="13"/>
  <c r="V840" i="13" s="1"/>
  <c r="J840" i="13"/>
  <c r="H840" i="13"/>
  <c r="R836" i="13"/>
  <c r="N836" i="13"/>
  <c r="V836" i="13" s="1"/>
  <c r="I836" i="13"/>
  <c r="J836" i="13"/>
  <c r="H836" i="13"/>
  <c r="G836" i="13"/>
  <c r="N835" i="13"/>
  <c r="F835" i="13"/>
  <c r="E835" i="13"/>
  <c r="R834" i="13"/>
  <c r="N825" i="13"/>
  <c r="V825" i="13" s="1"/>
  <c r="R825" i="13"/>
  <c r="H825" i="13"/>
  <c r="F825" i="13"/>
  <c r="R824" i="13"/>
  <c r="N824" i="13"/>
  <c r="V824" i="13" s="1"/>
  <c r="G824" i="13"/>
  <c r="J824" i="13"/>
  <c r="E789" i="13"/>
  <c r="V789" i="13"/>
  <c r="E725" i="13"/>
  <c r="R726" i="13"/>
  <c r="V726" i="13"/>
  <c r="J726" i="13"/>
  <c r="J725" i="13" s="1"/>
  <c r="R723" i="13"/>
  <c r="N723" i="13"/>
  <c r="S792" i="13"/>
  <c r="V792" i="13"/>
  <c r="J792" i="13"/>
  <c r="H792" i="13"/>
  <c r="F792" i="13"/>
  <c r="N1055" i="13"/>
  <c r="R839" i="13"/>
  <c r="P839" i="13"/>
  <c r="N839" i="13"/>
  <c r="V839" i="13" s="1"/>
  <c r="J839" i="13"/>
  <c r="H839" i="13"/>
  <c r="N933" i="13"/>
  <c r="G1154" i="13"/>
  <c r="R1140" i="13"/>
  <c r="N1140" i="13"/>
  <c r="E1140" i="13"/>
  <c r="R1132" i="13"/>
  <c r="N1132" i="13"/>
  <c r="E1132" i="13"/>
  <c r="I818" i="13" l="1"/>
  <c r="F818" i="13"/>
  <c r="H818" i="13"/>
  <c r="G818" i="13"/>
  <c r="E818" i="13"/>
  <c r="D789" i="13"/>
  <c r="V819" i="13"/>
  <c r="D819" i="13"/>
  <c r="C931" i="13"/>
  <c r="D820" i="13"/>
  <c r="C820" i="13" s="1"/>
  <c r="C1061" i="13"/>
  <c r="D1126" i="13"/>
  <c r="C1126" i="13" s="1"/>
  <c r="C1125" i="13"/>
  <c r="D945" i="13"/>
  <c r="C945" i="13" s="1"/>
  <c r="D1053" i="13"/>
  <c r="C1053" i="13" s="1"/>
  <c r="D1060" i="13"/>
  <c r="C1060" i="13" s="1"/>
  <c r="D1059" i="13"/>
  <c r="C1059" i="13" s="1"/>
  <c r="D840" i="13"/>
  <c r="C840" i="13" s="1"/>
  <c r="D824" i="13"/>
  <c r="C824" i="13" s="1"/>
  <c r="D825" i="13"/>
  <c r="C825" i="13" s="1"/>
  <c r="D726" i="13"/>
  <c r="C726" i="13" s="1"/>
  <c r="D792" i="13"/>
  <c r="C792" i="13" s="1"/>
  <c r="D839" i="13"/>
  <c r="C839" i="13" s="1"/>
  <c r="R813" i="13"/>
  <c r="R812" i="13"/>
  <c r="N812" i="13"/>
  <c r="N813" i="13"/>
  <c r="R807" i="13"/>
  <c r="R806" i="13" s="1"/>
  <c r="N807" i="13"/>
  <c r="N806" i="13" s="1"/>
  <c r="E806" i="13"/>
  <c r="R720" i="13"/>
  <c r="R719" i="13" s="1"/>
  <c r="C295" i="13"/>
  <c r="I1049" i="13"/>
  <c r="H1049" i="13"/>
  <c r="G1049" i="13"/>
  <c r="E1049" i="13"/>
  <c r="P921" i="13"/>
  <c r="V1174" i="13"/>
  <c r="R1174" i="13"/>
  <c r="D1174" i="13"/>
  <c r="N1054" i="13"/>
  <c r="V1054" i="13" s="1"/>
  <c r="D1054" i="13"/>
  <c r="R1050" i="13"/>
  <c r="N1050" i="13"/>
  <c r="V1050" i="13" s="1"/>
  <c r="D1050" i="13"/>
  <c r="R1049" i="13"/>
  <c r="N1049" i="13"/>
  <c r="V1049" i="13" s="1"/>
  <c r="J1049" i="13"/>
  <c r="R1048" i="13"/>
  <c r="N1048" i="13"/>
  <c r="V1048" i="13" s="1"/>
  <c r="D1048" i="13"/>
  <c r="N1038" i="13"/>
  <c r="V1038" i="13" s="1"/>
  <c r="D1038" i="13"/>
  <c r="N1032" i="13"/>
  <c r="V1032" i="13" s="1"/>
  <c r="D1032" i="13"/>
  <c r="N1007" i="13"/>
  <c r="V1007" i="13" s="1"/>
  <c r="D1007" i="13"/>
  <c r="V995" i="13"/>
  <c r="J995" i="13"/>
  <c r="I995" i="13"/>
  <c r="H995" i="13"/>
  <c r="G995" i="13"/>
  <c r="F995" i="13"/>
  <c r="E995" i="13"/>
  <c r="V993" i="13"/>
  <c r="D993" i="13"/>
  <c r="C993" i="13" s="1"/>
  <c r="R992" i="13"/>
  <c r="V992" i="13"/>
  <c r="D992" i="13"/>
  <c r="R991" i="13"/>
  <c r="N991" i="13"/>
  <c r="V991" i="13" s="1"/>
  <c r="D991" i="13"/>
  <c r="N953" i="13"/>
  <c r="V953" i="13" s="1"/>
  <c r="D953" i="13"/>
  <c r="C819" i="13" l="1"/>
  <c r="C789" i="13"/>
  <c r="C1174" i="13"/>
  <c r="C1054" i="13"/>
  <c r="C1032" i="13"/>
  <c r="C1038" i="13"/>
  <c r="C1048" i="13"/>
  <c r="D1049" i="13"/>
  <c r="C1049" i="13" s="1"/>
  <c r="C1050" i="13"/>
  <c r="C992" i="13"/>
  <c r="D995" i="13"/>
  <c r="C995" i="13" s="1"/>
  <c r="C1007" i="13"/>
  <c r="C991" i="13"/>
  <c r="C953" i="13"/>
  <c r="R950" i="13"/>
  <c r="N950" i="13"/>
  <c r="V950" i="13" s="1"/>
  <c r="D950" i="13"/>
  <c r="V921" i="13"/>
  <c r="D921" i="13"/>
  <c r="N693" i="13"/>
  <c r="C693" i="13" s="1"/>
  <c r="N692" i="13"/>
  <c r="C692" i="13" s="1"/>
  <c r="G834" i="13"/>
  <c r="E1119" i="13"/>
  <c r="E1117" i="13" s="1"/>
  <c r="G1119" i="13"/>
  <c r="G1117" i="13" s="1"/>
  <c r="I1119" i="13"/>
  <c r="I1117" i="13" s="1"/>
  <c r="N1120" i="13"/>
  <c r="N1039" i="13"/>
  <c r="N852" i="13"/>
  <c r="N851" i="13" s="1"/>
  <c r="G852" i="13"/>
  <c r="G851" i="13" s="1"/>
  <c r="F852" i="13"/>
  <c r="F851" i="13" s="1"/>
  <c r="E852" i="13"/>
  <c r="E851" i="13" s="1"/>
  <c r="I848" i="13"/>
  <c r="G848" i="13"/>
  <c r="F848" i="13"/>
  <c r="E848" i="13"/>
  <c r="I847" i="13"/>
  <c r="G847" i="13"/>
  <c r="F847" i="13"/>
  <c r="E847" i="13"/>
  <c r="I846" i="13"/>
  <c r="G846" i="13"/>
  <c r="F846" i="13"/>
  <c r="E846" i="13"/>
  <c r="I845" i="13"/>
  <c r="G845" i="13"/>
  <c r="F845" i="13"/>
  <c r="E845" i="13"/>
  <c r="I844" i="13"/>
  <c r="G844" i="13"/>
  <c r="F844" i="13"/>
  <c r="E844" i="13"/>
  <c r="I838" i="13"/>
  <c r="G838" i="13"/>
  <c r="F838" i="13"/>
  <c r="E838" i="13"/>
  <c r="I896" i="13"/>
  <c r="H896" i="13"/>
  <c r="G896" i="13"/>
  <c r="F896" i="13"/>
  <c r="E896" i="13"/>
  <c r="I1028" i="13"/>
  <c r="G1028" i="13"/>
  <c r="E1028" i="13"/>
  <c r="N722" i="13"/>
  <c r="N721" i="13" s="1"/>
  <c r="V867" i="13"/>
  <c r="R867" i="13"/>
  <c r="D867" i="13"/>
  <c r="N858" i="13"/>
  <c r="N857" i="13" s="1"/>
  <c r="J858" i="13"/>
  <c r="J857" i="13" s="1"/>
  <c r="H858" i="13"/>
  <c r="H857" i="13" s="1"/>
  <c r="F858" i="13"/>
  <c r="F857" i="13" s="1"/>
  <c r="N1150" i="13"/>
  <c r="N1149" i="13" s="1"/>
  <c r="J1150" i="13"/>
  <c r="J1149" i="13" s="1"/>
  <c r="N850" i="13"/>
  <c r="N849" i="13" s="1"/>
  <c r="J850" i="13"/>
  <c r="J849" i="13" s="1"/>
  <c r="R787" i="13"/>
  <c r="R786" i="13" s="1"/>
  <c r="N787" i="13"/>
  <c r="N786" i="13" s="1"/>
  <c r="D787" i="13"/>
  <c r="D786" i="13" s="1"/>
  <c r="D694" i="13"/>
  <c r="C694" i="13" s="1"/>
  <c r="D836" i="13"/>
  <c r="C836" i="13" s="1"/>
  <c r="N780" i="13"/>
  <c r="N779" i="13"/>
  <c r="N778" i="13"/>
  <c r="V787" i="13" l="1"/>
  <c r="D850" i="13"/>
  <c r="D849" i="13" s="1"/>
  <c r="V858" i="13"/>
  <c r="C1153" i="13"/>
  <c r="C921" i="13"/>
  <c r="C950" i="13"/>
  <c r="V692" i="13"/>
  <c r="V693" i="13"/>
  <c r="C867" i="13"/>
  <c r="D858" i="13"/>
  <c r="D857" i="13" s="1"/>
  <c r="V1150" i="13"/>
  <c r="D1150" i="13"/>
  <c r="D1149" i="13" s="1"/>
  <c r="V850" i="13"/>
  <c r="C850" i="13"/>
  <c r="C849" i="13" s="1"/>
  <c r="C787" i="13"/>
  <c r="C786" i="13" s="1"/>
  <c r="I966" i="13"/>
  <c r="H966" i="13"/>
  <c r="G966" i="13"/>
  <c r="F966" i="13"/>
  <c r="E966" i="13"/>
  <c r="I940" i="13"/>
  <c r="H940" i="13"/>
  <c r="G940" i="13"/>
  <c r="F940" i="13"/>
  <c r="E940" i="13"/>
  <c r="E1181" i="13"/>
  <c r="I1176" i="13"/>
  <c r="G1176" i="13"/>
  <c r="F1176" i="13"/>
  <c r="E1176" i="13"/>
  <c r="I1173" i="13"/>
  <c r="G1173" i="13"/>
  <c r="F1173" i="13"/>
  <c r="E1173" i="13"/>
  <c r="I1172" i="13"/>
  <c r="G1172" i="13"/>
  <c r="F1172" i="13"/>
  <c r="E1172" i="13"/>
  <c r="I1171" i="13"/>
  <c r="G1171" i="13"/>
  <c r="F1171" i="13"/>
  <c r="E1171" i="13"/>
  <c r="I1170" i="13"/>
  <c r="G1170" i="13"/>
  <c r="F1170" i="13"/>
  <c r="E1170" i="13"/>
  <c r="I1148" i="13"/>
  <c r="I1147" i="13" s="1"/>
  <c r="G1148" i="13"/>
  <c r="G1147" i="13" s="1"/>
  <c r="E1148" i="13"/>
  <c r="E1147" i="13" s="1"/>
  <c r="E794" i="13"/>
  <c r="I707" i="13"/>
  <c r="G707" i="13"/>
  <c r="E707" i="13"/>
  <c r="N698" i="13"/>
  <c r="G1010" i="13"/>
  <c r="I1010" i="13"/>
  <c r="H1010" i="13"/>
  <c r="F1010" i="13"/>
  <c r="E1010" i="13"/>
  <c r="I967" i="13"/>
  <c r="H967" i="13"/>
  <c r="G967" i="13"/>
  <c r="F967" i="13"/>
  <c r="E967" i="13"/>
  <c r="F834" i="13"/>
  <c r="V849" i="13" l="1"/>
  <c r="C858" i="13"/>
  <c r="C857" i="13" s="1"/>
  <c r="C1150" i="13"/>
  <c r="C1149" i="13" s="1"/>
  <c r="V857" i="13" l="1"/>
  <c r="R1154" i="13"/>
  <c r="N1154" i="13"/>
  <c r="I1154" i="13"/>
  <c r="F1154" i="13"/>
  <c r="E1154" i="13"/>
  <c r="R680" i="13"/>
  <c r="N680" i="13"/>
  <c r="I680" i="13"/>
  <c r="H680" i="13"/>
  <c r="F680" i="13"/>
  <c r="E680" i="13"/>
  <c r="R681" i="13"/>
  <c r="N681" i="13"/>
  <c r="I681" i="13"/>
  <c r="F681" i="13"/>
  <c r="E681" i="13"/>
  <c r="R687" i="13"/>
  <c r="N687" i="13"/>
  <c r="I687" i="13"/>
  <c r="E687" i="13"/>
  <c r="N731" i="13"/>
  <c r="N759" i="13"/>
  <c r="R771" i="13"/>
  <c r="R770" i="13" s="1"/>
  <c r="N862" i="13"/>
  <c r="N865" i="13"/>
  <c r="N866" i="13"/>
  <c r="F678" i="13" l="1"/>
  <c r="I678" i="13"/>
  <c r="E678" i="13"/>
  <c r="R429" i="13"/>
  <c r="N871" i="13"/>
  <c r="N502" i="13"/>
  <c r="I977" i="13"/>
  <c r="F977" i="13"/>
  <c r="E977" i="13"/>
  <c r="I978" i="13"/>
  <c r="F978" i="13"/>
  <c r="E978" i="13"/>
  <c r="R981" i="13"/>
  <c r="N981" i="13"/>
  <c r="N1008" i="13"/>
  <c r="N1031" i="13"/>
  <c r="I1051" i="13"/>
  <c r="F1051" i="13"/>
  <c r="E1051" i="13"/>
  <c r="I1052" i="13" l="1"/>
  <c r="F1052" i="13"/>
  <c r="E1052" i="13"/>
  <c r="N1077" i="13"/>
  <c r="N529" i="13"/>
  <c r="V529" i="13" s="1"/>
  <c r="D529" i="13"/>
  <c r="C529" i="13" l="1"/>
  <c r="L1089" i="13"/>
  <c r="R1182" i="13"/>
  <c r="R1181" i="13" s="1"/>
  <c r="R1180" i="13"/>
  <c r="R1179" i="13"/>
  <c r="R1178" i="13"/>
  <c r="R1176" i="13"/>
  <c r="R1173" i="13"/>
  <c r="R1172" i="13"/>
  <c r="R1171" i="13"/>
  <c r="R1170" i="13"/>
  <c r="R1169" i="13"/>
  <c r="R1168" i="13"/>
  <c r="R1167" i="13"/>
  <c r="R1166" i="13"/>
  <c r="R1165" i="13"/>
  <c r="R1164" i="13"/>
  <c r="R1163" i="13"/>
  <c r="R1148" i="13"/>
  <c r="R1147" i="13" s="1"/>
  <c r="R1146" i="13"/>
  <c r="R1145" i="13" s="1"/>
  <c r="R1144" i="13"/>
  <c r="R1143" i="13"/>
  <c r="R1142" i="13"/>
  <c r="R1139" i="13"/>
  <c r="R1138" i="13" s="1"/>
  <c r="R1137" i="13"/>
  <c r="R1136" i="13" s="1"/>
  <c r="R1135" i="13"/>
  <c r="R1134" i="13" s="1"/>
  <c r="R1131" i="13"/>
  <c r="R1129" i="13" s="1"/>
  <c r="R1128" i="13"/>
  <c r="R1127" i="13" s="1"/>
  <c r="R1123" i="13"/>
  <c r="R1122" i="13"/>
  <c r="R1120" i="13"/>
  <c r="R1119" i="13"/>
  <c r="R1118" i="13"/>
  <c r="R1116" i="13"/>
  <c r="R1115" i="13" s="1"/>
  <c r="R1111" i="13"/>
  <c r="R1110" i="13" s="1"/>
  <c r="R1109" i="13"/>
  <c r="R1104" i="13"/>
  <c r="R1103" i="13" s="1"/>
  <c r="R1102" i="13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6" i="13"/>
  <c r="R1085" i="13"/>
  <c r="R1084" i="13"/>
  <c r="R1083" i="13"/>
  <c r="R1082" i="13"/>
  <c r="R1081" i="13"/>
  <c r="R1080" i="13"/>
  <c r="R1079" i="13"/>
  <c r="R1078" i="13"/>
  <c r="R1076" i="13"/>
  <c r="R1075" i="13"/>
  <c r="R1074" i="13"/>
  <c r="R1073" i="13"/>
  <c r="R1072" i="13"/>
  <c r="R1071" i="13"/>
  <c r="R1070" i="13"/>
  <c r="R1069" i="13"/>
  <c r="R1068" i="13"/>
  <c r="R1067" i="13"/>
  <c r="R1064" i="13"/>
  <c r="R1063" i="13"/>
  <c r="R1062" i="13"/>
  <c r="R1058" i="13"/>
  <c r="R1057" i="13"/>
  <c r="R1056" i="13"/>
  <c r="R1047" i="13"/>
  <c r="R1046" i="13"/>
  <c r="R1045" i="13"/>
  <c r="R1044" i="13"/>
  <c r="R1043" i="13"/>
  <c r="R1042" i="13"/>
  <c r="R1041" i="13"/>
  <c r="R1040" i="13"/>
  <c r="R1039" i="13"/>
  <c r="R1037" i="13"/>
  <c r="R1036" i="13"/>
  <c r="R1035" i="13"/>
  <c r="R1034" i="13"/>
  <c r="R1033" i="13"/>
  <c r="R1030" i="13"/>
  <c r="R1029" i="13"/>
  <c r="R1028" i="13"/>
  <c r="R1027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3" i="13"/>
  <c r="R1012" i="13"/>
  <c r="R1010" i="13"/>
  <c r="R1009" i="13"/>
  <c r="R1006" i="13"/>
  <c r="R863" i="13"/>
  <c r="R1002" i="13"/>
  <c r="R1001" i="13"/>
  <c r="R1000" i="13"/>
  <c r="R999" i="13"/>
  <c r="R998" i="13"/>
  <c r="R997" i="13"/>
  <c r="R996" i="13"/>
  <c r="R994" i="13"/>
  <c r="R990" i="13"/>
  <c r="R989" i="13"/>
  <c r="R988" i="13"/>
  <c r="R987" i="13"/>
  <c r="R986" i="13"/>
  <c r="R985" i="13"/>
  <c r="R984" i="13"/>
  <c r="R982" i="13"/>
  <c r="R979" i="13"/>
  <c r="R976" i="13"/>
  <c r="R975" i="13"/>
  <c r="R974" i="13"/>
  <c r="R973" i="13"/>
  <c r="R972" i="13"/>
  <c r="R970" i="13"/>
  <c r="R969" i="13"/>
  <c r="R971" i="13"/>
  <c r="R968" i="13"/>
  <c r="R967" i="13"/>
  <c r="R966" i="13"/>
  <c r="R964" i="13"/>
  <c r="R963" i="13"/>
  <c r="R962" i="13"/>
  <c r="R961" i="13"/>
  <c r="R960" i="13"/>
  <c r="R959" i="13"/>
  <c r="R958" i="13"/>
  <c r="R957" i="13"/>
  <c r="R956" i="13"/>
  <c r="R955" i="13"/>
  <c r="R954" i="13"/>
  <c r="R952" i="13"/>
  <c r="R949" i="13"/>
  <c r="R948" i="13"/>
  <c r="R947" i="13"/>
  <c r="R946" i="13"/>
  <c r="R944" i="13"/>
  <c r="R943" i="13"/>
  <c r="R942" i="13"/>
  <c r="R941" i="13"/>
  <c r="R940" i="13"/>
  <c r="R939" i="13"/>
  <c r="R938" i="13"/>
  <c r="R937" i="13"/>
  <c r="R936" i="13"/>
  <c r="R935" i="13"/>
  <c r="R934" i="13"/>
  <c r="R932" i="13"/>
  <c r="R929" i="13"/>
  <c r="R928" i="13"/>
  <c r="R927" i="13"/>
  <c r="R926" i="13"/>
  <c r="R925" i="13"/>
  <c r="R924" i="13"/>
  <c r="R923" i="13"/>
  <c r="R920" i="13"/>
  <c r="R919" i="13"/>
  <c r="R918" i="13"/>
  <c r="R917" i="13"/>
  <c r="R916" i="13"/>
  <c r="R915" i="13"/>
  <c r="R914" i="13"/>
  <c r="R913" i="13"/>
  <c r="R912" i="13"/>
  <c r="R911" i="13"/>
  <c r="R910" i="13"/>
  <c r="R909" i="13"/>
  <c r="R907" i="13"/>
  <c r="R906" i="13"/>
  <c r="R905" i="13"/>
  <c r="R904" i="13"/>
  <c r="R903" i="13"/>
  <c r="R902" i="13"/>
  <c r="R901" i="13"/>
  <c r="R900" i="13"/>
  <c r="R899" i="13"/>
  <c r="R898" i="13"/>
  <c r="R897" i="13"/>
  <c r="R896" i="13"/>
  <c r="R892" i="13"/>
  <c r="R891" i="13"/>
  <c r="R890" i="13"/>
  <c r="R889" i="13"/>
  <c r="R888" i="13"/>
  <c r="R887" i="13"/>
  <c r="R1114" i="13"/>
  <c r="R1113" i="13"/>
  <c r="R886" i="13"/>
  <c r="R885" i="13"/>
  <c r="R884" i="13"/>
  <c r="R883" i="13"/>
  <c r="R880" i="13"/>
  <c r="R877" i="13"/>
  <c r="R876" i="13"/>
  <c r="R875" i="13"/>
  <c r="R874" i="13"/>
  <c r="R873" i="13"/>
  <c r="R870" i="13"/>
  <c r="R869" i="13"/>
  <c r="R868" i="13"/>
  <c r="R864" i="13"/>
  <c r="R860" i="13"/>
  <c r="R856" i="13"/>
  <c r="R855" i="13"/>
  <c r="R852" i="13"/>
  <c r="R851" i="13" s="1"/>
  <c r="R848" i="13"/>
  <c r="R847" i="13"/>
  <c r="R846" i="13"/>
  <c r="R845" i="13"/>
  <c r="R844" i="13"/>
  <c r="R843" i="13"/>
  <c r="R842" i="13"/>
  <c r="R841" i="13"/>
  <c r="R838" i="13"/>
  <c r="R835" i="13"/>
  <c r="R833" i="13"/>
  <c r="R832" i="13"/>
  <c r="R830" i="13"/>
  <c r="R829" i="13"/>
  <c r="R826" i="13"/>
  <c r="R823" i="13"/>
  <c r="R822" i="13"/>
  <c r="R821" i="13"/>
  <c r="R817" i="13"/>
  <c r="R816" i="13"/>
  <c r="R815" i="13"/>
  <c r="R814" i="13"/>
  <c r="R811" i="13"/>
  <c r="R810" i="13"/>
  <c r="R805" i="13"/>
  <c r="R804" i="13"/>
  <c r="R803" i="13"/>
  <c r="R802" i="13"/>
  <c r="R801" i="13"/>
  <c r="R800" i="13"/>
  <c r="R799" i="13"/>
  <c r="R798" i="13"/>
  <c r="R797" i="13"/>
  <c r="R795" i="13"/>
  <c r="R794" i="13"/>
  <c r="R793" i="13"/>
  <c r="R790" i="13"/>
  <c r="R785" i="13"/>
  <c r="R784" i="13" s="1"/>
  <c r="R783" i="13"/>
  <c r="R782" i="13"/>
  <c r="R781" i="13"/>
  <c r="R776" i="13"/>
  <c r="R775" i="13" s="1"/>
  <c r="R774" i="13"/>
  <c r="R773" i="13"/>
  <c r="R769" i="13"/>
  <c r="R768" i="13" s="1"/>
  <c r="R767" i="13"/>
  <c r="R766" i="13" s="1"/>
  <c r="R765" i="13"/>
  <c r="R764" i="13" s="1"/>
  <c r="R763" i="13"/>
  <c r="R762" i="13" s="1"/>
  <c r="R761" i="13"/>
  <c r="R760" i="13"/>
  <c r="R758" i="13"/>
  <c r="R757" i="13"/>
  <c r="R755" i="13"/>
  <c r="R754" i="13" s="1"/>
  <c r="R753" i="13"/>
  <c r="R752" i="13"/>
  <c r="R751" i="13"/>
  <c r="R750" i="13"/>
  <c r="R749" i="13"/>
  <c r="R747" i="13"/>
  <c r="R746" i="13" s="1"/>
  <c r="R744" i="13"/>
  <c r="R745" i="13"/>
  <c r="R743" i="13"/>
  <c r="R742" i="13"/>
  <c r="R740" i="13"/>
  <c r="R738" i="13"/>
  <c r="R736" i="13"/>
  <c r="R735" i="13" s="1"/>
  <c r="R732" i="13"/>
  <c r="R730" i="13"/>
  <c r="R729" i="13"/>
  <c r="R728" i="13"/>
  <c r="R724" i="13"/>
  <c r="R722" i="13"/>
  <c r="R718" i="13"/>
  <c r="R717" i="13"/>
  <c r="R716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10" i="13"/>
  <c r="P859" i="13" s="1"/>
  <c r="P845" i="13"/>
  <c r="P844" i="13"/>
  <c r="P838" i="13"/>
  <c r="P834" i="13"/>
  <c r="P776" i="13"/>
  <c r="P775" i="13" s="1"/>
  <c r="I1169" i="13"/>
  <c r="I1166" i="13"/>
  <c r="I1163" i="13"/>
  <c r="I1024" i="13"/>
  <c r="I1023" i="13"/>
  <c r="I1017" i="13"/>
  <c r="I1016" i="13"/>
  <c r="I936" i="13"/>
  <c r="I892" i="13"/>
  <c r="I843" i="13"/>
  <c r="I834" i="13"/>
  <c r="I816" i="13"/>
  <c r="I803" i="13"/>
  <c r="I801" i="13"/>
  <c r="I799" i="13"/>
  <c r="I798" i="13"/>
  <c r="I795" i="13"/>
  <c r="I793" i="13"/>
  <c r="I755" i="13"/>
  <c r="I754" i="13" s="1"/>
  <c r="I730" i="13"/>
  <c r="I729" i="13"/>
  <c r="I728" i="13"/>
  <c r="I706" i="13"/>
  <c r="I701" i="13"/>
  <c r="G755" i="13"/>
  <c r="G754" i="13" s="1"/>
  <c r="F1169" i="13"/>
  <c r="F1166" i="13"/>
  <c r="F1163" i="13"/>
  <c r="F1140" i="13"/>
  <c r="F1138" i="13" s="1"/>
  <c r="F1024" i="13"/>
  <c r="F1023" i="13"/>
  <c r="F1017" i="13"/>
  <c r="F1016" i="13"/>
  <c r="F936" i="13"/>
  <c r="F892" i="13"/>
  <c r="F843" i="13"/>
  <c r="F831" i="13" s="1"/>
  <c r="F816" i="13"/>
  <c r="F811" i="13"/>
  <c r="F810" i="13"/>
  <c r="F803" i="13"/>
  <c r="F801" i="13"/>
  <c r="F799" i="13"/>
  <c r="F798" i="13"/>
  <c r="F795" i="13"/>
  <c r="F793" i="13"/>
  <c r="F707" i="13"/>
  <c r="F706" i="13"/>
  <c r="F701" i="13"/>
  <c r="F687" i="13"/>
  <c r="E1169" i="13"/>
  <c r="E1166" i="13"/>
  <c r="E1163" i="13"/>
  <c r="I683" i="13" l="1"/>
  <c r="E1151" i="13"/>
  <c r="I1151" i="13"/>
  <c r="P831" i="13"/>
  <c r="R725" i="13"/>
  <c r="R772" i="13"/>
  <c r="R854" i="13"/>
  <c r="R1117" i="13"/>
  <c r="L859" i="13"/>
  <c r="R721" i="13"/>
  <c r="R727" i="13"/>
  <c r="R748" i="13"/>
  <c r="R1141" i="13"/>
  <c r="R756" i="13"/>
  <c r="R808" i="13"/>
  <c r="F808" i="13"/>
  <c r="F1151" i="13"/>
  <c r="I727" i="13"/>
  <c r="R715" i="13"/>
  <c r="R737" i="13"/>
  <c r="R777" i="13"/>
  <c r="R831" i="13"/>
  <c r="R1112" i="13"/>
  <c r="R1121" i="13"/>
  <c r="R1177" i="13"/>
  <c r="F683" i="13"/>
  <c r="I831" i="13"/>
  <c r="R741" i="13"/>
  <c r="R818" i="13"/>
  <c r="E1139" i="13"/>
  <c r="E1138" i="13" s="1"/>
  <c r="E1131" i="13"/>
  <c r="E1129" i="13" s="1"/>
  <c r="E1128" i="13"/>
  <c r="E1127" i="13" s="1"/>
  <c r="E1024" i="13"/>
  <c r="E1023" i="13"/>
  <c r="E1017" i="13"/>
  <c r="E1016" i="13"/>
  <c r="E936" i="13"/>
  <c r="E892" i="13"/>
  <c r="E856" i="13"/>
  <c r="E855" i="13"/>
  <c r="E843" i="13"/>
  <c r="E834" i="13"/>
  <c r="E816" i="13"/>
  <c r="E815" i="13"/>
  <c r="E811" i="13"/>
  <c r="E810" i="13"/>
  <c r="E803" i="13"/>
  <c r="E801" i="13"/>
  <c r="E799" i="13"/>
  <c r="E798" i="13"/>
  <c r="E797" i="13"/>
  <c r="E795" i="13"/>
  <c r="E793" i="13"/>
  <c r="E776" i="13"/>
  <c r="E775" i="13" s="1"/>
  <c r="E755" i="13"/>
  <c r="E754" i="13" s="1"/>
  <c r="E730" i="13"/>
  <c r="E729" i="13"/>
  <c r="E728" i="13"/>
  <c r="E721" i="13"/>
  <c r="E713" i="13"/>
  <c r="E712" i="13" s="1"/>
  <c r="E706" i="13"/>
  <c r="E701" i="13"/>
  <c r="N1182" i="13"/>
  <c r="N1181" i="13" s="1"/>
  <c r="N1179" i="13"/>
  <c r="N1177" i="13" s="1"/>
  <c r="N1176" i="13"/>
  <c r="N1173" i="13"/>
  <c r="N1172" i="13"/>
  <c r="N1171" i="13"/>
  <c r="N1170" i="13"/>
  <c r="N1168" i="13"/>
  <c r="N1167" i="13"/>
  <c r="N1166" i="13"/>
  <c r="N1165" i="13"/>
  <c r="N1164" i="13"/>
  <c r="N1163" i="13"/>
  <c r="N1146" i="13"/>
  <c r="N1145" i="13" s="1"/>
  <c r="N1144" i="13"/>
  <c r="N1142" i="13"/>
  <c r="N1139" i="13"/>
  <c r="N1138" i="13" s="1"/>
  <c r="N1135" i="13"/>
  <c r="N1134" i="13" s="1"/>
  <c r="N1131" i="13"/>
  <c r="N1129" i="13" s="1"/>
  <c r="N1128" i="13"/>
  <c r="N1127" i="13" s="1"/>
  <c r="N1123" i="13"/>
  <c r="N1122" i="13"/>
  <c r="N1119" i="13"/>
  <c r="N1118" i="13"/>
  <c r="N1116" i="13"/>
  <c r="N1115" i="13" s="1"/>
  <c r="N1109" i="13"/>
  <c r="N1102" i="13"/>
  <c r="N1101" i="13"/>
  <c r="N1099" i="13"/>
  <c r="N1098" i="13"/>
  <c r="N1097" i="13"/>
  <c r="N1096" i="13"/>
  <c r="N1095" i="13"/>
  <c r="N1094" i="13"/>
  <c r="N1093" i="13"/>
  <c r="N1092" i="13"/>
  <c r="N1091" i="13"/>
  <c r="N1088" i="13"/>
  <c r="N1086" i="13"/>
  <c r="N1085" i="13"/>
  <c r="N1084" i="13"/>
  <c r="N1083" i="13"/>
  <c r="N1082" i="13"/>
  <c r="N1081" i="13"/>
  <c r="N1080" i="13"/>
  <c r="N1079" i="13"/>
  <c r="N1078" i="13"/>
  <c r="N1076" i="13"/>
  <c r="N1075" i="13"/>
  <c r="N1074" i="13"/>
  <c r="N1073" i="13"/>
  <c r="N1072" i="13"/>
  <c r="N1071" i="13"/>
  <c r="N1068" i="13"/>
  <c r="N1067" i="13"/>
  <c r="N1064" i="13"/>
  <c r="N1063" i="13"/>
  <c r="N1057" i="13"/>
  <c r="N1056" i="13"/>
  <c r="N1046" i="13"/>
  <c r="N1045" i="13"/>
  <c r="N1044" i="13"/>
  <c r="N1043" i="13"/>
  <c r="N1042" i="13"/>
  <c r="N1041" i="13"/>
  <c r="N1037" i="13"/>
  <c r="N1036" i="13"/>
  <c r="N1035" i="13"/>
  <c r="N1034" i="13"/>
  <c r="N1033" i="13"/>
  <c r="N1030" i="13"/>
  <c r="N1029" i="13"/>
  <c r="N1028" i="13"/>
  <c r="N1027" i="13"/>
  <c r="N1025" i="13"/>
  <c r="N1022" i="13"/>
  <c r="N1021" i="13"/>
  <c r="N1020" i="13"/>
  <c r="N1019" i="13"/>
  <c r="N1017" i="13"/>
  <c r="N1013" i="13"/>
  <c r="N1012" i="13"/>
  <c r="N1010" i="13"/>
  <c r="N1009" i="13"/>
  <c r="N1006" i="13"/>
  <c r="N863" i="13"/>
  <c r="N1002" i="13"/>
  <c r="N1001" i="13"/>
  <c r="N1000" i="13"/>
  <c r="N999" i="13"/>
  <c r="N998" i="13"/>
  <c r="N997" i="13"/>
  <c r="N996" i="13"/>
  <c r="N994" i="13"/>
  <c r="N990" i="13"/>
  <c r="N989" i="13"/>
  <c r="N988" i="13"/>
  <c r="N987" i="13"/>
  <c r="N986" i="13"/>
  <c r="N985" i="13"/>
  <c r="N984" i="13"/>
  <c r="N982" i="13"/>
  <c r="N979" i="13"/>
  <c r="N976" i="13"/>
  <c r="N975" i="13"/>
  <c r="N974" i="13"/>
  <c r="N973" i="13"/>
  <c r="N972" i="13"/>
  <c r="N970" i="13"/>
  <c r="N969" i="13"/>
  <c r="N971" i="13"/>
  <c r="N968" i="13"/>
  <c r="N964" i="13"/>
  <c r="N963" i="13"/>
  <c r="N962" i="13"/>
  <c r="N961" i="13"/>
  <c r="N960" i="13"/>
  <c r="N959" i="13"/>
  <c r="N958" i="13"/>
  <c r="N957" i="13"/>
  <c r="N956" i="13"/>
  <c r="N955" i="13"/>
  <c r="N954" i="13"/>
  <c r="N952" i="13"/>
  <c r="N949" i="13"/>
  <c r="N948" i="13"/>
  <c r="N947" i="13"/>
  <c r="N946" i="13"/>
  <c r="N944" i="13"/>
  <c r="N943" i="13"/>
  <c r="N942" i="13"/>
  <c r="N941" i="13"/>
  <c r="N940" i="13"/>
  <c r="N939" i="13"/>
  <c r="N938" i="13"/>
  <c r="N937" i="13"/>
  <c r="N936" i="13"/>
  <c r="N935" i="13"/>
  <c r="N934" i="13"/>
  <c r="N932" i="13"/>
  <c r="N929" i="13"/>
  <c r="N928" i="13"/>
  <c r="N927" i="13"/>
  <c r="N925" i="13"/>
  <c r="N924" i="13"/>
  <c r="N923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7" i="13"/>
  <c r="N905" i="13"/>
  <c r="N904" i="13"/>
  <c r="N903" i="13"/>
  <c r="N902" i="13"/>
  <c r="N901" i="13"/>
  <c r="N900" i="13"/>
  <c r="N899" i="13"/>
  <c r="N898" i="13"/>
  <c r="N897" i="13"/>
  <c r="N896" i="13"/>
  <c r="N891" i="13"/>
  <c r="N890" i="13"/>
  <c r="N889" i="13"/>
  <c r="N888" i="13"/>
  <c r="N887" i="13"/>
  <c r="N1114" i="13"/>
  <c r="N1113" i="13"/>
  <c r="N886" i="13"/>
  <c r="N885" i="13"/>
  <c r="N884" i="13"/>
  <c r="N883" i="13"/>
  <c r="N880" i="13"/>
  <c r="N877" i="13"/>
  <c r="N875" i="13"/>
  <c r="N874" i="13"/>
  <c r="N873" i="13"/>
  <c r="N870" i="13"/>
  <c r="N869" i="13"/>
  <c r="N868" i="13"/>
  <c r="N860" i="13"/>
  <c r="N856" i="13"/>
  <c r="N855" i="13"/>
  <c r="N847" i="13"/>
  <c r="N846" i="13"/>
  <c r="N845" i="13"/>
  <c r="N844" i="13"/>
  <c r="N843" i="13"/>
  <c r="N842" i="13"/>
  <c r="N841" i="13"/>
  <c r="N838" i="13"/>
  <c r="N833" i="13"/>
  <c r="N830" i="13"/>
  <c r="N829" i="13"/>
  <c r="N826" i="13"/>
  <c r="N823" i="13"/>
  <c r="N822" i="13"/>
  <c r="N821" i="13"/>
  <c r="N817" i="13"/>
  <c r="N816" i="13"/>
  <c r="N814" i="13"/>
  <c r="N811" i="13"/>
  <c r="N810" i="13"/>
  <c r="N805" i="13"/>
  <c r="N804" i="13"/>
  <c r="N803" i="13"/>
  <c r="N802" i="13"/>
  <c r="N801" i="13"/>
  <c r="N800" i="13"/>
  <c r="N799" i="13"/>
  <c r="N798" i="13"/>
  <c r="N797" i="13"/>
  <c r="N795" i="13"/>
  <c r="N794" i="13"/>
  <c r="N793" i="13"/>
  <c r="N790" i="13"/>
  <c r="N785" i="13"/>
  <c r="N784" i="13" s="1"/>
  <c r="N783" i="13"/>
  <c r="N782" i="13"/>
  <c r="N781" i="13"/>
  <c r="N776" i="13"/>
  <c r="N775" i="13" s="1"/>
  <c r="N774" i="13"/>
  <c r="N773" i="13"/>
  <c r="N769" i="13"/>
  <c r="N768" i="13" s="1"/>
  <c r="N767" i="13"/>
  <c r="N766" i="13" s="1"/>
  <c r="N765" i="13"/>
  <c r="N764" i="13" s="1"/>
  <c r="N763" i="13"/>
  <c r="N762" i="13" s="1"/>
  <c r="N758" i="13"/>
  <c r="N757" i="13"/>
  <c r="N753" i="13"/>
  <c r="N752" i="13"/>
  <c r="N749" i="13"/>
  <c r="N747" i="13"/>
  <c r="N746" i="13" s="1"/>
  <c r="N745" i="13"/>
  <c r="N743" i="13"/>
  <c r="N742" i="13"/>
  <c r="N736" i="13"/>
  <c r="N735" i="13" s="1"/>
  <c r="N732" i="13"/>
  <c r="N730" i="13"/>
  <c r="N729" i="13"/>
  <c r="N728" i="13"/>
  <c r="N718" i="13"/>
  <c r="N717" i="13"/>
  <c r="N713" i="13"/>
  <c r="N711" i="13"/>
  <c r="N710" i="13" s="1"/>
  <c r="N709" i="13"/>
  <c r="N708" i="13"/>
  <c r="N707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E854" i="13" l="1"/>
  <c r="N725" i="13"/>
  <c r="N756" i="13"/>
  <c r="N1112" i="13"/>
  <c r="N1121" i="13"/>
  <c r="N748" i="13"/>
  <c r="N818" i="13"/>
  <c r="N712" i="13"/>
  <c r="N741" i="13"/>
  <c r="N854" i="13"/>
  <c r="E727" i="13"/>
  <c r="N715" i="13"/>
  <c r="N727" i="13"/>
  <c r="N772" i="13"/>
  <c r="N831" i="13"/>
  <c r="N1117" i="13"/>
  <c r="N1141" i="13"/>
  <c r="E683" i="13"/>
  <c r="E808" i="13"/>
  <c r="E831" i="13"/>
  <c r="N678" i="13"/>
  <c r="N777" i="13"/>
  <c r="N1151" i="13"/>
  <c r="F373" i="13"/>
  <c r="E373" i="13"/>
  <c r="D1128" i="13"/>
  <c r="D1127" i="13" s="1"/>
  <c r="V1116" i="13"/>
  <c r="D1116" i="13"/>
  <c r="D1115" i="13" s="1"/>
  <c r="V1067" i="13"/>
  <c r="D1067" i="13"/>
  <c r="C1067" i="13" s="1"/>
  <c r="C1116" i="13" l="1"/>
  <c r="C1115" i="13" s="1"/>
  <c r="C1128" i="13"/>
  <c r="C1127" i="13" s="1"/>
  <c r="V1128" i="13"/>
  <c r="V937" i="13"/>
  <c r="D937" i="13"/>
  <c r="C937" i="13" s="1"/>
  <c r="V1140" i="13" l="1"/>
  <c r="D684" i="13"/>
  <c r="D842" i="13"/>
  <c r="J829" i="13"/>
  <c r="D767" i="13"/>
  <c r="D766" i="13" s="1"/>
  <c r="D760" i="13"/>
  <c r="C760" i="13" s="1"/>
  <c r="V1016" i="13"/>
  <c r="H1016" i="13"/>
  <c r="G1016" i="13"/>
  <c r="G1169" i="13"/>
  <c r="E641" i="13"/>
  <c r="E635" i="13" s="1"/>
  <c r="E342" i="13"/>
  <c r="E341" i="13" s="1"/>
  <c r="E379" i="13"/>
  <c r="F372" i="13"/>
  <c r="E372" i="13"/>
  <c r="E371" i="13"/>
  <c r="E369" i="13"/>
  <c r="V843" i="13"/>
  <c r="J843" i="13"/>
  <c r="G843" i="13"/>
  <c r="G831" i="13" s="1"/>
  <c r="V1002" i="13"/>
  <c r="D1002" i="13"/>
  <c r="V1001" i="13"/>
  <c r="D1001" i="13"/>
  <c r="C684" i="13" l="1"/>
  <c r="D1140" i="13"/>
  <c r="C842" i="13"/>
  <c r="D829" i="13"/>
  <c r="V829" i="13"/>
  <c r="V767" i="13"/>
  <c r="C1001" i="13"/>
  <c r="C1002" i="13"/>
  <c r="D843" i="13"/>
  <c r="C843" i="13" s="1"/>
  <c r="C767" i="13"/>
  <c r="C766" i="13" s="1"/>
  <c r="D1016" i="13"/>
  <c r="C1016" i="13" s="1"/>
  <c r="D1011" i="13"/>
  <c r="N1011" i="13"/>
  <c r="R1011" i="13"/>
  <c r="V1146" i="13"/>
  <c r="D1146" i="13"/>
  <c r="D1145" i="13" s="1"/>
  <c r="V732" i="13"/>
  <c r="D732" i="13"/>
  <c r="V1021" i="13"/>
  <c r="D1021" i="13"/>
  <c r="H882" i="13"/>
  <c r="G882" i="13"/>
  <c r="V1011" i="13" l="1"/>
  <c r="C1140" i="13"/>
  <c r="C829" i="13"/>
  <c r="C1011" i="13"/>
  <c r="C732" i="13"/>
  <c r="C1146" i="13"/>
  <c r="C1145" i="13" s="1"/>
  <c r="C1021" i="13"/>
  <c r="D699" i="13"/>
  <c r="C699" i="13" s="1"/>
  <c r="G872" i="13"/>
  <c r="G922" i="13"/>
  <c r="F631" i="13"/>
  <c r="F630" i="13" s="1"/>
  <c r="E631" i="13"/>
  <c r="E630" i="13" s="1"/>
  <c r="H881" i="13"/>
  <c r="G881" i="13"/>
  <c r="V904" i="13"/>
  <c r="D904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04" i="13" l="1"/>
  <c r="D424" i="13"/>
  <c r="D773" i="13"/>
  <c r="C424" i="13" l="1"/>
  <c r="C423" i="13" s="1"/>
  <c r="V423" i="13" s="1"/>
  <c r="D423" i="13"/>
  <c r="V773" i="13"/>
  <c r="C773" i="13"/>
  <c r="D1142" i="13"/>
  <c r="V898" i="13"/>
  <c r="D898" i="13"/>
  <c r="V947" i="13"/>
  <c r="D947" i="13"/>
  <c r="V905" i="13"/>
  <c r="D905" i="13"/>
  <c r="V874" i="13"/>
  <c r="D874" i="13"/>
  <c r="V811" i="13"/>
  <c r="J811" i="13"/>
  <c r="V810" i="13"/>
  <c r="J810" i="13"/>
  <c r="G810" i="13"/>
  <c r="V711" i="13"/>
  <c r="D711" i="13"/>
  <c r="D710" i="13" s="1"/>
  <c r="V700" i="13"/>
  <c r="D700" i="13"/>
  <c r="V702" i="13"/>
  <c r="D702" i="13"/>
  <c r="V460" i="13"/>
  <c r="J460" i="13"/>
  <c r="H460" i="13"/>
  <c r="V927" i="13"/>
  <c r="D927" i="13"/>
  <c r="V1076" i="13"/>
  <c r="D1076" i="13"/>
  <c r="V1074" i="13"/>
  <c r="D1074" i="13"/>
  <c r="C1142" i="13" l="1"/>
  <c r="C905" i="13"/>
  <c r="D460" i="13"/>
  <c r="C460" i="13" s="1"/>
  <c r="C1076" i="13"/>
  <c r="C711" i="13"/>
  <c r="C710" i="13" s="1"/>
  <c r="D811" i="13"/>
  <c r="C811" i="13" s="1"/>
  <c r="C927" i="13"/>
  <c r="C898" i="13"/>
  <c r="C1074" i="13"/>
  <c r="C702" i="13"/>
  <c r="C700" i="13"/>
  <c r="D810" i="13"/>
  <c r="C810" i="13" s="1"/>
  <c r="C874" i="13"/>
  <c r="C947" i="13"/>
  <c r="V1046" i="13"/>
  <c r="D1046" i="13"/>
  <c r="V938" i="13"/>
  <c r="D938" i="13"/>
  <c r="V1071" i="13"/>
  <c r="D1071" i="13"/>
  <c r="V1075" i="13"/>
  <c r="D1075" i="13"/>
  <c r="V932" i="13"/>
  <c r="D932" i="13"/>
  <c r="V1064" i="13"/>
  <c r="D1064" i="13"/>
  <c r="V710" i="13" l="1"/>
  <c r="C1046" i="13"/>
  <c r="C938" i="13"/>
  <c r="C1064" i="13"/>
  <c r="C932" i="13"/>
  <c r="C1075" i="13"/>
  <c r="C1071" i="13"/>
  <c r="V1088" i="13"/>
  <c r="D1088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088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28" i="13"/>
  <c r="E827" i="13" s="1"/>
  <c r="G828" i="13"/>
  <c r="G827" i="13" s="1"/>
  <c r="I828" i="13"/>
  <c r="I827" i="13" s="1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1019" i="13" l="1"/>
  <c r="D1019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19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1" i="13"/>
  <c r="D771" i="13"/>
  <c r="D770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1" i="13" l="1"/>
  <c r="C770" i="13" s="1"/>
  <c r="D550" i="13"/>
  <c r="C550" i="13" s="1"/>
  <c r="C198" i="13"/>
  <c r="V654" i="13"/>
  <c r="D353" i="13"/>
  <c r="I895" i="13"/>
  <c r="I859" i="13" s="1"/>
  <c r="F895" i="13"/>
  <c r="F859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70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15" i="13"/>
  <c r="N859" i="13" s="1"/>
  <c r="N791" i="13"/>
  <c r="N677" i="13" s="1"/>
  <c r="D281" i="13"/>
  <c r="C281" i="13" s="1"/>
  <c r="D1178" i="13"/>
  <c r="D1180" i="13"/>
  <c r="C1178" i="13" l="1"/>
  <c r="C654" i="13"/>
  <c r="V402" i="13"/>
  <c r="C544" i="13"/>
  <c r="C525" i="13"/>
  <c r="C402" i="13"/>
  <c r="C1180" i="13"/>
  <c r="V447" i="13"/>
  <c r="J447" i="13"/>
  <c r="H447" i="13"/>
  <c r="V519" i="13"/>
  <c r="J519" i="13"/>
  <c r="H519" i="13"/>
  <c r="D761" i="13"/>
  <c r="C761" i="13" s="1"/>
  <c r="V299" i="13"/>
  <c r="D299" i="13"/>
  <c r="D815" i="13"/>
  <c r="V815" i="13"/>
  <c r="H861" i="13"/>
  <c r="G861" i="13"/>
  <c r="H983" i="13"/>
  <c r="G983" i="13"/>
  <c r="C653" i="13" l="1"/>
  <c r="V653" i="13" s="1"/>
  <c r="D447" i="13"/>
  <c r="C447" i="13" s="1"/>
  <c r="D519" i="13"/>
  <c r="C519" i="13" s="1"/>
  <c r="C299" i="13"/>
  <c r="C815" i="13"/>
  <c r="I723" i="13" l="1"/>
  <c r="I721" i="13" s="1"/>
  <c r="I388" i="13"/>
  <c r="E388" i="13"/>
  <c r="I387" i="13"/>
  <c r="H387" i="13"/>
  <c r="G387" i="13"/>
  <c r="G382" i="13" s="1"/>
  <c r="F387" i="13"/>
  <c r="E387" i="13"/>
  <c r="F408" i="13"/>
  <c r="F399" i="13" s="1"/>
  <c r="E287" i="13"/>
  <c r="E286" i="13" s="1"/>
  <c r="D750" i="13" l="1"/>
  <c r="I675" i="13"/>
  <c r="I674" i="13" s="1"/>
  <c r="I1184" i="13"/>
  <c r="I1183" i="13" s="1"/>
  <c r="I648" i="13"/>
  <c r="I647" i="13" s="1"/>
  <c r="I1108" i="13"/>
  <c r="I1107" i="13" s="1"/>
  <c r="I385" i="13"/>
  <c r="I384" i="13"/>
  <c r="I383" i="13"/>
  <c r="I809" i="13"/>
  <c r="I808" i="13" s="1"/>
  <c r="I807" i="13"/>
  <c r="I806" i="13" s="1"/>
  <c r="I791" i="13"/>
  <c r="I342" i="13"/>
  <c r="I341" i="13" s="1"/>
  <c r="I331" i="13"/>
  <c r="I328" i="13" s="1"/>
  <c r="H1166" i="13"/>
  <c r="H1017" i="13"/>
  <c r="H936" i="13"/>
  <c r="H701" i="13"/>
  <c r="H690" i="13"/>
  <c r="H675" i="13"/>
  <c r="H674" i="13" s="1"/>
  <c r="H1184" i="13"/>
  <c r="H1183" i="13" s="1"/>
  <c r="H669" i="13"/>
  <c r="H666" i="13"/>
  <c r="H665" i="13"/>
  <c r="H664" i="13"/>
  <c r="H663" i="13"/>
  <c r="H662" i="13"/>
  <c r="H661" i="13"/>
  <c r="H660" i="13"/>
  <c r="H1154" i="13"/>
  <c r="H1151" i="13" s="1"/>
  <c r="H648" i="13"/>
  <c r="H647" i="13" s="1"/>
  <c r="H641" i="13"/>
  <c r="H642" i="13"/>
  <c r="H639" i="13"/>
  <c r="H1108" i="13"/>
  <c r="H1107" i="13" s="1"/>
  <c r="H1052" i="13"/>
  <c r="H1051" i="13"/>
  <c r="H1024" i="13"/>
  <c r="H1023" i="13"/>
  <c r="H978" i="13"/>
  <c r="H977" i="13"/>
  <c r="H892" i="13"/>
  <c r="H437" i="13"/>
  <c r="I677" i="13" l="1"/>
  <c r="H658" i="13"/>
  <c r="H635" i="13"/>
  <c r="I382" i="13"/>
  <c r="I285" i="13" s="1"/>
  <c r="C750" i="13"/>
  <c r="D751" i="13"/>
  <c r="H412" i="13"/>
  <c r="H411" i="13"/>
  <c r="H410" i="13"/>
  <c r="H408" i="13"/>
  <c r="H406" i="13"/>
  <c r="H405" i="13"/>
  <c r="H409" i="13"/>
  <c r="H403" i="13"/>
  <c r="H835" i="13"/>
  <c r="H831" i="13" s="1"/>
  <c r="H394" i="13"/>
  <c r="H389" i="13" s="1"/>
  <c r="H385" i="13"/>
  <c r="H384" i="13"/>
  <c r="H383" i="13"/>
  <c r="H809" i="13"/>
  <c r="H808" i="13" s="1"/>
  <c r="H807" i="13"/>
  <c r="H806" i="13" s="1"/>
  <c r="H379" i="13"/>
  <c r="H376" i="13"/>
  <c r="H375" i="13"/>
  <c r="H791" i="13"/>
  <c r="H677" i="13" s="1"/>
  <c r="H373" i="13"/>
  <c r="H374" i="13"/>
  <c r="H372" i="13"/>
  <c r="H371" i="13"/>
  <c r="H369" i="13"/>
  <c r="H367" i="13"/>
  <c r="H342" i="13"/>
  <c r="H341" i="13" s="1"/>
  <c r="H331" i="13"/>
  <c r="H328" i="13" s="1"/>
  <c r="H734" i="13"/>
  <c r="H733" i="13" s="1"/>
  <c r="H723" i="13"/>
  <c r="H721" i="13" s="1"/>
  <c r="H687" i="13"/>
  <c r="H683" i="13" s="1"/>
  <c r="H288" i="13"/>
  <c r="H287" i="13"/>
  <c r="F675" i="13"/>
  <c r="F674" i="13" s="1"/>
  <c r="F1184" i="13"/>
  <c r="F1183" i="13" s="1"/>
  <c r="F1108" i="13"/>
  <c r="F1107" i="13" s="1"/>
  <c r="F385" i="13"/>
  <c r="F382" i="13" s="1"/>
  <c r="F807" i="13"/>
  <c r="F806" i="13" s="1"/>
  <c r="F791" i="13"/>
  <c r="F677" i="13" s="1"/>
  <c r="F332" i="13"/>
  <c r="F292" i="13"/>
  <c r="F289" i="13" s="1"/>
  <c r="H382" i="13" l="1"/>
  <c r="H362" i="13"/>
  <c r="H286" i="13"/>
  <c r="H399" i="13"/>
  <c r="C751" i="13"/>
  <c r="G1163" i="13"/>
  <c r="G1166" i="13"/>
  <c r="G1017" i="13"/>
  <c r="G936" i="13"/>
  <c r="G816" i="13"/>
  <c r="G808" i="13" s="1"/>
  <c r="G803" i="13"/>
  <c r="G801" i="13"/>
  <c r="G799" i="13"/>
  <c r="G798" i="13"/>
  <c r="G793" i="13"/>
  <c r="G730" i="13"/>
  <c r="G706" i="13"/>
  <c r="G701" i="13"/>
  <c r="G1151" i="13" l="1"/>
  <c r="G1108" i="13"/>
  <c r="G1107" i="13" s="1"/>
  <c r="G1066" i="13"/>
  <c r="G1024" i="13"/>
  <c r="G1023" i="13"/>
  <c r="E292" i="13"/>
  <c r="E289" i="13" s="1"/>
  <c r="G687" i="13"/>
  <c r="G683" i="13" s="1"/>
  <c r="G892" i="13"/>
  <c r="V1090" i="13" l="1"/>
  <c r="D1090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090" i="13"/>
  <c r="V463" i="13"/>
  <c r="J463" i="13"/>
  <c r="N368" i="13"/>
  <c r="D463" i="13" l="1"/>
  <c r="N674" i="13"/>
  <c r="G675" i="13"/>
  <c r="G674" i="13" s="1"/>
  <c r="C463" i="13" l="1"/>
  <c r="V1179" i="13"/>
  <c r="V675" i="13"/>
  <c r="D675" i="13"/>
  <c r="D674" i="13" s="1"/>
  <c r="D1179" i="13"/>
  <c r="D1177" i="13" s="1"/>
  <c r="D673" i="13"/>
  <c r="D672" i="13" s="1"/>
  <c r="D13" i="13"/>
  <c r="C13" i="13" s="1"/>
  <c r="V13" i="13"/>
  <c r="N57" i="13"/>
  <c r="V673" i="13" l="1"/>
  <c r="N672" i="13"/>
  <c r="C675" i="13"/>
  <c r="C674" i="13" s="1"/>
  <c r="C1179" i="13"/>
  <c r="C1177" i="13" s="1"/>
  <c r="C673" i="13"/>
  <c r="C672" i="13" s="1"/>
  <c r="V759" i="13"/>
  <c r="P720" i="13"/>
  <c r="P719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52" i="13"/>
  <c r="V1051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15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81" i="13"/>
  <c r="V980" i="13"/>
  <c r="V530" i="13"/>
  <c r="V978" i="13"/>
  <c r="V977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895" i="13"/>
  <c r="V155" i="13"/>
  <c r="V154" i="13"/>
  <c r="V153" i="13"/>
  <c r="V152" i="13"/>
  <c r="V151" i="13"/>
  <c r="V150" i="13"/>
  <c r="V149" i="13"/>
  <c r="V148" i="13"/>
  <c r="V147" i="13"/>
  <c r="V142" i="13"/>
  <c r="V141" i="13"/>
  <c r="V879" i="13"/>
  <c r="V878" i="13"/>
  <c r="V140" i="13"/>
  <c r="V139" i="13"/>
  <c r="V138" i="13"/>
  <c r="V137" i="13"/>
  <c r="V136" i="13"/>
  <c r="V135" i="13"/>
  <c r="V134" i="13"/>
  <c r="V133" i="13"/>
  <c r="V132" i="13"/>
  <c r="V131" i="13"/>
  <c r="V866" i="13"/>
  <c r="V428" i="13"/>
  <c r="V865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39" i="13"/>
  <c r="V37" i="13"/>
  <c r="V36" i="13"/>
  <c r="V325" i="13"/>
  <c r="V731" i="13"/>
  <c r="V34" i="13"/>
  <c r="V32" i="13"/>
  <c r="V31" i="13"/>
  <c r="V720" i="13"/>
  <c r="V29" i="13"/>
  <c r="V20" i="13"/>
  <c r="V19" i="13"/>
  <c r="V18" i="13"/>
  <c r="V15" i="13"/>
  <c r="V14" i="13"/>
  <c r="V17" i="13"/>
  <c r="V12" i="13"/>
  <c r="V674" i="13" l="1"/>
  <c r="V1177" i="13"/>
  <c r="V680" i="13"/>
  <c r="V1094" i="13"/>
  <c r="V1093" i="13"/>
  <c r="V1092" i="13"/>
  <c r="V1091" i="13"/>
  <c r="V998" i="13"/>
  <c r="V985" i="13"/>
  <c r="V906" i="13"/>
  <c r="V845" i="13"/>
  <c r="V844" i="13"/>
  <c r="V800" i="13"/>
  <c r="V745" i="13"/>
  <c r="V704" i="13"/>
  <c r="V698" i="13"/>
  <c r="V696" i="13"/>
  <c r="V685" i="13"/>
  <c r="V1077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0" i="13"/>
  <c r="V779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3" i="13"/>
  <c r="V812" i="13"/>
  <c r="V385" i="13"/>
  <c r="V384" i="13"/>
  <c r="V383" i="13"/>
  <c r="N809" i="13"/>
  <c r="N808" i="13" s="1"/>
  <c r="V392" i="13"/>
  <c r="N393" i="13"/>
  <c r="N394" i="13"/>
  <c r="V394" i="13" s="1"/>
  <c r="V396" i="13"/>
  <c r="N828" i="13"/>
  <c r="N827" i="13" s="1"/>
  <c r="N403" i="13"/>
  <c r="V403" i="13" s="1"/>
  <c r="V408" i="13"/>
  <c r="V407" i="13"/>
  <c r="V413" i="13"/>
  <c r="V412" i="13"/>
  <c r="V422" i="13"/>
  <c r="N431" i="13"/>
  <c r="V431" i="13" s="1"/>
  <c r="V871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08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33" i="13"/>
  <c r="N487" i="13"/>
  <c r="V487" i="13" s="1"/>
  <c r="V486" i="13"/>
  <c r="V470" i="13"/>
  <c r="V506" i="13"/>
  <c r="V510" i="13"/>
  <c r="V509" i="13"/>
  <c r="V501" i="13"/>
  <c r="V951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83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08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31" i="13"/>
  <c r="V568" i="13"/>
  <c r="V567" i="13"/>
  <c r="V593" i="13"/>
  <c r="V1055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66" i="13"/>
  <c r="V600" i="13"/>
  <c r="V1065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08" i="13"/>
  <c r="N1107" i="13" s="1"/>
  <c r="V629" i="13"/>
  <c r="V634" i="13"/>
  <c r="N632" i="13"/>
  <c r="V640" i="13"/>
  <c r="V638" i="13"/>
  <c r="V1124" i="13"/>
  <c r="V637" i="13"/>
  <c r="V644" i="13"/>
  <c r="V1132" i="13"/>
  <c r="V646" i="13"/>
  <c r="V649" i="13"/>
  <c r="V650" i="13"/>
  <c r="N652" i="13"/>
  <c r="N651" i="13" s="1"/>
  <c r="V1160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3" i="13"/>
  <c r="V701" i="13"/>
  <c r="V709" i="13"/>
  <c r="V708" i="13"/>
  <c r="V705" i="13"/>
  <c r="V707" i="13"/>
  <c r="V714" i="13"/>
  <c r="V718" i="13"/>
  <c r="V730" i="13"/>
  <c r="V729" i="13"/>
  <c r="V743" i="13"/>
  <c r="V744" i="13"/>
  <c r="V758" i="13"/>
  <c r="V782" i="13"/>
  <c r="V783" i="13"/>
  <c r="V799" i="13"/>
  <c r="V798" i="13"/>
  <c r="V797" i="13"/>
  <c r="V795" i="13"/>
  <c r="V794" i="13"/>
  <c r="V793" i="13"/>
  <c r="V805" i="13"/>
  <c r="V804" i="13"/>
  <c r="V803" i="13"/>
  <c r="V802" i="13"/>
  <c r="V801" i="13"/>
  <c r="V817" i="13"/>
  <c r="V816" i="13"/>
  <c r="V826" i="13"/>
  <c r="V822" i="13"/>
  <c r="V823" i="13"/>
  <c r="V838" i="13"/>
  <c r="V841" i="13"/>
  <c r="V847" i="13"/>
  <c r="V846" i="13"/>
  <c r="V853" i="13"/>
  <c r="V856" i="13"/>
  <c r="V875" i="13"/>
  <c r="V873" i="13"/>
  <c r="V870" i="13"/>
  <c r="V869" i="13"/>
  <c r="V868" i="13"/>
  <c r="V884" i="13"/>
  <c r="V883" i="13"/>
  <c r="V880" i="13"/>
  <c r="V877" i="13"/>
  <c r="V891" i="13"/>
  <c r="V890" i="13"/>
  <c r="V889" i="13"/>
  <c r="V888" i="13"/>
  <c r="V887" i="13"/>
  <c r="V1114" i="13"/>
  <c r="V1113" i="13"/>
  <c r="V886" i="13"/>
  <c r="V885" i="13"/>
  <c r="V903" i="13"/>
  <c r="V902" i="13"/>
  <c r="V901" i="13"/>
  <c r="V900" i="13"/>
  <c r="V899" i="13"/>
  <c r="V897" i="13"/>
  <c r="V896" i="13"/>
  <c r="V910" i="13"/>
  <c r="V909" i="13"/>
  <c r="V920" i="13"/>
  <c r="V907" i="13"/>
  <c r="V925" i="13"/>
  <c r="V924" i="13"/>
  <c r="V923" i="13"/>
  <c r="V919" i="13"/>
  <c r="V918" i="13"/>
  <c r="V917" i="13"/>
  <c r="V916" i="13"/>
  <c r="V915" i="13"/>
  <c r="V914" i="13"/>
  <c r="V913" i="13"/>
  <c r="V912" i="13"/>
  <c r="V911" i="13"/>
  <c r="V934" i="13"/>
  <c r="V930" i="13"/>
  <c r="V929" i="13"/>
  <c r="V928" i="13"/>
  <c r="V943" i="13"/>
  <c r="V942" i="13"/>
  <c r="V941" i="13"/>
  <c r="V940" i="13"/>
  <c r="V939" i="13"/>
  <c r="V936" i="13"/>
  <c r="V935" i="13"/>
  <c r="V955" i="13"/>
  <c r="V956" i="13"/>
  <c r="V954" i="13"/>
  <c r="V952" i="13"/>
  <c r="V949" i="13"/>
  <c r="V946" i="13"/>
  <c r="V948" i="13"/>
  <c r="V944" i="13"/>
  <c r="V964" i="13"/>
  <c r="V961" i="13"/>
  <c r="V960" i="13"/>
  <c r="V959" i="13"/>
  <c r="V958" i="13"/>
  <c r="V963" i="13"/>
  <c r="V962" i="13"/>
  <c r="V957" i="13"/>
  <c r="V972" i="13"/>
  <c r="V970" i="13"/>
  <c r="V969" i="13"/>
  <c r="V971" i="13"/>
  <c r="V968" i="13"/>
  <c r="V984" i="13"/>
  <c r="V982" i="13"/>
  <c r="V979" i="13"/>
  <c r="V976" i="13"/>
  <c r="V975" i="13"/>
  <c r="V974" i="13"/>
  <c r="V973" i="13"/>
  <c r="V987" i="13"/>
  <c r="V997" i="13"/>
  <c r="V996" i="13"/>
  <c r="V994" i="13"/>
  <c r="V990" i="13"/>
  <c r="V989" i="13"/>
  <c r="V988" i="13"/>
  <c r="V1009" i="13"/>
  <c r="V1013" i="13"/>
  <c r="V1012" i="13"/>
  <c r="V1010" i="13"/>
  <c r="V1006" i="13"/>
  <c r="V863" i="13"/>
  <c r="V1000" i="13"/>
  <c r="V999" i="13"/>
  <c r="V1020" i="13"/>
  <c r="V1017" i="13"/>
  <c r="V1022" i="13"/>
  <c r="V1027" i="13"/>
  <c r="V1026" i="13"/>
  <c r="V1025" i="13"/>
  <c r="V1028" i="13"/>
  <c r="V1037" i="13"/>
  <c r="V1036" i="13"/>
  <c r="V1035" i="13"/>
  <c r="V1034" i="13"/>
  <c r="V1033" i="13"/>
  <c r="V1030" i="13"/>
  <c r="V1029" i="13"/>
  <c r="V1057" i="13"/>
  <c r="V1056" i="13"/>
  <c r="V1058" i="13"/>
  <c r="V1047" i="13"/>
  <c r="V1045" i="13"/>
  <c r="V1040" i="13"/>
  <c r="V1039" i="13"/>
  <c r="V1044" i="13"/>
  <c r="V1043" i="13"/>
  <c r="V1042" i="13"/>
  <c r="V1041" i="13"/>
  <c r="V1068" i="13"/>
  <c r="V1073" i="13"/>
  <c r="V1072" i="13"/>
  <c r="V1063" i="13"/>
  <c r="V1086" i="13"/>
  <c r="V1085" i="13"/>
  <c r="V1084" i="13"/>
  <c r="V1083" i="13"/>
  <c r="V1082" i="13"/>
  <c r="V1081" i="13"/>
  <c r="V1080" i="13"/>
  <c r="V1079" i="13"/>
  <c r="V1078" i="13"/>
  <c r="V1102" i="13"/>
  <c r="V1101" i="13"/>
  <c r="V1100" i="13"/>
  <c r="V1099" i="13"/>
  <c r="V1098" i="13"/>
  <c r="V1097" i="13"/>
  <c r="V1096" i="13"/>
  <c r="V1095" i="13"/>
  <c r="V1120" i="13"/>
  <c r="V1119" i="13"/>
  <c r="V641" i="13"/>
  <c r="V1123" i="13"/>
  <c r="V1133" i="13"/>
  <c r="V1144" i="13"/>
  <c r="V1168" i="13"/>
  <c r="V1167" i="13"/>
  <c r="V1176" i="13"/>
  <c r="V1173" i="13"/>
  <c r="V1172" i="13"/>
  <c r="V1171" i="13"/>
  <c r="V1170" i="13"/>
  <c r="V1165" i="13"/>
  <c r="V1164" i="13"/>
  <c r="V1182" i="13"/>
  <c r="V1169" i="13"/>
  <c r="V1148" i="13"/>
  <c r="V1137" i="13"/>
  <c r="V1111" i="13"/>
  <c r="V1104" i="13"/>
  <c r="V1089" i="13"/>
  <c r="V1070" i="13"/>
  <c r="V1069" i="13"/>
  <c r="V1062" i="13"/>
  <c r="V1018" i="13"/>
  <c r="V967" i="13"/>
  <c r="V966" i="13"/>
  <c r="V926" i="13"/>
  <c r="V876" i="13"/>
  <c r="V864" i="13"/>
  <c r="V848" i="13"/>
  <c r="V834" i="13"/>
  <c r="V832" i="13"/>
  <c r="V755" i="13"/>
  <c r="V740" i="13"/>
  <c r="V738" i="13"/>
  <c r="V724" i="13"/>
  <c r="V722" i="13"/>
  <c r="V716" i="13"/>
  <c r="V706" i="13"/>
  <c r="V695" i="13"/>
  <c r="V690" i="13"/>
  <c r="V688" i="13"/>
  <c r="V643" i="13"/>
  <c r="V642" i="13"/>
  <c r="V597" i="13"/>
  <c r="V596" i="13"/>
  <c r="V595" i="13"/>
  <c r="V594" i="13"/>
  <c r="V589" i="13"/>
  <c r="V565" i="13"/>
  <c r="V1024" i="13"/>
  <c r="V1023" i="13"/>
  <c r="V553" i="13"/>
  <c r="V497" i="13"/>
  <c r="V922" i="13"/>
  <c r="V892" i="13"/>
  <c r="V893" i="13"/>
  <c r="V882" i="13"/>
  <c r="V881" i="13"/>
  <c r="V872" i="13"/>
  <c r="V861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3" i="13"/>
  <c r="R712" i="13" s="1"/>
  <c r="R685" i="13"/>
  <c r="R683" i="13" s="1"/>
  <c r="R682" i="13"/>
  <c r="R679" i="13"/>
  <c r="R1160" i="13"/>
  <c r="R1151" i="13" s="1"/>
  <c r="R652" i="13"/>
  <c r="R651" i="13" s="1"/>
  <c r="R650" i="13"/>
  <c r="R649" i="13"/>
  <c r="R644" i="13"/>
  <c r="R640" i="13"/>
  <c r="R637" i="13"/>
  <c r="R636" i="13"/>
  <c r="R632" i="13"/>
  <c r="R630" i="13"/>
  <c r="R1108" i="13"/>
  <c r="R1107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77" i="13"/>
  <c r="R614" i="13"/>
  <c r="R613" i="13"/>
  <c r="R612" i="13"/>
  <c r="R611" i="13"/>
  <c r="R605" i="13"/>
  <c r="R608" i="13"/>
  <c r="R607" i="13"/>
  <c r="R606" i="13"/>
  <c r="R602" i="13"/>
  <c r="R600" i="13"/>
  <c r="R1065" i="13"/>
  <c r="R599" i="13"/>
  <c r="R598" i="13"/>
  <c r="R597" i="13"/>
  <c r="R596" i="13"/>
  <c r="R595" i="13"/>
  <c r="R594" i="13"/>
  <c r="R593" i="13"/>
  <c r="R1055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31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08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51" i="13"/>
  <c r="R499" i="13"/>
  <c r="R498" i="13"/>
  <c r="R497" i="13"/>
  <c r="R495" i="13"/>
  <c r="R490" i="13"/>
  <c r="R489" i="13"/>
  <c r="R488" i="13"/>
  <c r="R494" i="13"/>
  <c r="R493" i="13"/>
  <c r="R492" i="13"/>
  <c r="R491" i="13"/>
  <c r="R933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22" i="13"/>
  <c r="R454" i="13"/>
  <c r="R453" i="13"/>
  <c r="R908" i="13"/>
  <c r="R452" i="13"/>
  <c r="R451" i="13"/>
  <c r="R450" i="13"/>
  <c r="R449" i="13"/>
  <c r="R448" i="13"/>
  <c r="R893" i="13"/>
  <c r="R446" i="13"/>
  <c r="R445" i="13"/>
  <c r="R444" i="13"/>
  <c r="R443" i="13"/>
  <c r="R441" i="13"/>
  <c r="R440" i="13"/>
  <c r="R882" i="13"/>
  <c r="R438" i="13"/>
  <c r="R436" i="13"/>
  <c r="R435" i="13"/>
  <c r="R434" i="13"/>
  <c r="R432" i="13"/>
  <c r="R431" i="13"/>
  <c r="R871" i="13"/>
  <c r="R427" i="13"/>
  <c r="R426" i="13"/>
  <c r="R862" i="13"/>
  <c r="R422" i="13"/>
  <c r="R421" i="13"/>
  <c r="R417" i="13"/>
  <c r="R416" i="13" s="1"/>
  <c r="R415" i="13"/>
  <c r="R414" i="13"/>
  <c r="R413" i="13"/>
  <c r="R410" i="13"/>
  <c r="R403" i="13"/>
  <c r="R400" i="13"/>
  <c r="R828" i="13"/>
  <c r="R827" i="13" s="1"/>
  <c r="R394" i="13"/>
  <c r="R393" i="13"/>
  <c r="R388" i="13"/>
  <c r="R387" i="13"/>
  <c r="R384" i="13"/>
  <c r="R383" i="13"/>
  <c r="R381" i="13"/>
  <c r="R380" i="13"/>
  <c r="R378" i="13"/>
  <c r="R791" i="13"/>
  <c r="R342" i="13"/>
  <c r="R341" i="13" s="1"/>
  <c r="R303" i="13"/>
  <c r="R289" i="13" s="1"/>
  <c r="R286" i="13"/>
  <c r="D926" i="13"/>
  <c r="R677" i="13" l="1"/>
  <c r="R859" i="13"/>
  <c r="R678" i="13"/>
  <c r="R635" i="13"/>
  <c r="R362" i="13"/>
  <c r="V1108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549" i="13"/>
  <c r="V774" i="13"/>
  <c r="V337" i="13"/>
  <c r="V624" i="13"/>
  <c r="V1163" i="13"/>
  <c r="V398" i="13"/>
  <c r="V807" i="13"/>
  <c r="V361" i="13"/>
  <c r="V339" i="13"/>
  <c r="V734" i="13"/>
  <c r="V310" i="13"/>
  <c r="V686" i="13"/>
  <c r="V349" i="13"/>
  <c r="V1166" i="13"/>
  <c r="V1118" i="13"/>
  <c r="V1109" i="13"/>
  <c r="V821" i="13"/>
  <c r="V814" i="13"/>
  <c r="V790" i="13"/>
  <c r="V785" i="13"/>
  <c r="V776" i="13"/>
  <c r="V757" i="13"/>
  <c r="V742" i="13"/>
  <c r="V1184" i="13"/>
  <c r="V648" i="13"/>
  <c r="V628" i="13"/>
  <c r="V421" i="13"/>
  <c r="V828" i="13"/>
  <c r="V354" i="13"/>
  <c r="V342" i="13"/>
  <c r="V723" i="13"/>
  <c r="V287" i="13"/>
  <c r="V364" i="13"/>
  <c r="V736" i="13"/>
  <c r="V1139" i="13"/>
  <c r="V769" i="13"/>
  <c r="V1143" i="13"/>
  <c r="V1131" i="13"/>
  <c r="V855" i="13"/>
  <c r="V830" i="13"/>
  <c r="V763" i="13"/>
  <c r="V717" i="13"/>
  <c r="V1130" i="13"/>
  <c r="V862" i="13"/>
  <c r="V778" i="13"/>
  <c r="V329" i="13"/>
  <c r="V313" i="13"/>
  <c r="V1122" i="13"/>
  <c r="V852" i="13"/>
  <c r="V713" i="13"/>
  <c r="V657" i="13"/>
  <c r="V1135" i="13"/>
  <c r="V860" i="13"/>
  <c r="V781" i="13"/>
  <c r="V765" i="13"/>
  <c r="V747" i="13"/>
  <c r="V728" i="13"/>
  <c r="V679" i="13"/>
  <c r="V1154" i="13"/>
  <c r="V652" i="13"/>
  <c r="V633" i="13"/>
  <c r="V835" i="13"/>
  <c r="V809" i="13"/>
  <c r="V347" i="13"/>
  <c r="V321" i="13"/>
  <c r="V324" i="13"/>
  <c r="V636" i="13"/>
  <c r="C926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44" i="13"/>
  <c r="C1144" i="13" s="1"/>
  <c r="D1143" i="13"/>
  <c r="D1135" i="13"/>
  <c r="D1134" i="13" s="1"/>
  <c r="D1122" i="13"/>
  <c r="D1120" i="13"/>
  <c r="C1120" i="13" s="1"/>
  <c r="D1118" i="13"/>
  <c r="D1102" i="13"/>
  <c r="C1102" i="13" s="1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95" i="13"/>
  <c r="C1095" i="13" s="1"/>
  <c r="D1091" i="13"/>
  <c r="C1091" i="13" s="1"/>
  <c r="D1089" i="13"/>
  <c r="D1086" i="13"/>
  <c r="C1086" i="13" s="1"/>
  <c r="D1085" i="13"/>
  <c r="C1085" i="13" s="1"/>
  <c r="D1084" i="13"/>
  <c r="C1084" i="13" s="1"/>
  <c r="D1083" i="13"/>
  <c r="C1083" i="13" s="1"/>
  <c r="D1082" i="13"/>
  <c r="C1082" i="13" s="1"/>
  <c r="D1081" i="13"/>
  <c r="C1081" i="13" s="1"/>
  <c r="D1080" i="13"/>
  <c r="C1080" i="13" s="1"/>
  <c r="D1079" i="13"/>
  <c r="C1079" i="13" s="1"/>
  <c r="D1078" i="13"/>
  <c r="C1078" i="13" s="1"/>
  <c r="D1070" i="13"/>
  <c r="C1070" i="13" s="1"/>
  <c r="D1069" i="13"/>
  <c r="C1069" i="13" s="1"/>
  <c r="D1068" i="13"/>
  <c r="C1068" i="13" s="1"/>
  <c r="D1073" i="13"/>
  <c r="C1073" i="13" s="1"/>
  <c r="D1072" i="13"/>
  <c r="C1072" i="13" s="1"/>
  <c r="D1063" i="13"/>
  <c r="C1063" i="13" s="1"/>
  <c r="D1057" i="13"/>
  <c r="C1057" i="13" s="1"/>
  <c r="D1056" i="13"/>
  <c r="C1056" i="13" s="1"/>
  <c r="D1058" i="13"/>
  <c r="C1058" i="13" s="1"/>
  <c r="D1047" i="13"/>
  <c r="C1047" i="13" s="1"/>
  <c r="D1045" i="13"/>
  <c r="C1045" i="13" s="1"/>
  <c r="D1040" i="13"/>
  <c r="C1040" i="13" s="1"/>
  <c r="D1039" i="13"/>
  <c r="C1039" i="13" s="1"/>
  <c r="D1044" i="13"/>
  <c r="C1044" i="13" s="1"/>
  <c r="D1043" i="13"/>
  <c r="C1043" i="13" s="1"/>
  <c r="D1042" i="13"/>
  <c r="C1042" i="13" s="1"/>
  <c r="D1041" i="13"/>
  <c r="C1041" i="13" s="1"/>
  <c r="D1037" i="13"/>
  <c r="C1037" i="13" s="1"/>
  <c r="D1036" i="13"/>
  <c r="C1036" i="13" s="1"/>
  <c r="D1035" i="13"/>
  <c r="C1035" i="13" s="1"/>
  <c r="D1034" i="13"/>
  <c r="C1034" i="13" s="1"/>
  <c r="D1033" i="13"/>
  <c r="C1033" i="13" s="1"/>
  <c r="D1030" i="13"/>
  <c r="C1030" i="13" s="1"/>
  <c r="D1029" i="13"/>
  <c r="C1029" i="13" s="1"/>
  <c r="D1027" i="13"/>
  <c r="C1027" i="13" s="1"/>
  <c r="D1026" i="13"/>
  <c r="C1026" i="13" s="1"/>
  <c r="D1025" i="13"/>
  <c r="C1025" i="13" s="1"/>
  <c r="D1022" i="13"/>
  <c r="C1022" i="13" s="1"/>
  <c r="D1020" i="13"/>
  <c r="C1020" i="13" s="1"/>
  <c r="D1018" i="13"/>
  <c r="C1018" i="13" s="1"/>
  <c r="D1009" i="13"/>
  <c r="C1009" i="13" s="1"/>
  <c r="D1013" i="13"/>
  <c r="C1013" i="13" s="1"/>
  <c r="D1012" i="13"/>
  <c r="C1012" i="13" s="1"/>
  <c r="D1006" i="13"/>
  <c r="C1006" i="13" s="1"/>
  <c r="D863" i="13"/>
  <c r="C863" i="13" s="1"/>
  <c r="D1000" i="13"/>
  <c r="C1000" i="13" s="1"/>
  <c r="D999" i="13"/>
  <c r="C999" i="13" s="1"/>
  <c r="D998" i="13"/>
  <c r="C998" i="13" s="1"/>
  <c r="D997" i="13"/>
  <c r="C997" i="13" s="1"/>
  <c r="D996" i="13"/>
  <c r="C996" i="13" s="1"/>
  <c r="D994" i="13"/>
  <c r="C994" i="13" s="1"/>
  <c r="D990" i="13"/>
  <c r="C990" i="13" s="1"/>
  <c r="D989" i="13"/>
  <c r="C989" i="13" s="1"/>
  <c r="D988" i="13"/>
  <c r="C988" i="13" s="1"/>
  <c r="D987" i="13"/>
  <c r="C987" i="13" s="1"/>
  <c r="D985" i="13"/>
  <c r="C985" i="13" s="1"/>
  <c r="D984" i="13"/>
  <c r="C984" i="13" s="1"/>
  <c r="D982" i="13"/>
  <c r="C982" i="13" s="1"/>
  <c r="D979" i="13"/>
  <c r="C979" i="13" s="1"/>
  <c r="D976" i="13"/>
  <c r="C976" i="13" s="1"/>
  <c r="D975" i="13"/>
  <c r="C975" i="13" s="1"/>
  <c r="D974" i="13"/>
  <c r="C974" i="13" s="1"/>
  <c r="D972" i="13"/>
  <c r="C972" i="13" s="1"/>
  <c r="D970" i="13"/>
  <c r="C970" i="13" s="1"/>
  <c r="D969" i="13"/>
  <c r="C969" i="13" s="1"/>
  <c r="D971" i="13"/>
  <c r="C971" i="13" s="1"/>
  <c r="D968" i="13"/>
  <c r="C968" i="13" s="1"/>
  <c r="D964" i="13"/>
  <c r="C964" i="13" s="1"/>
  <c r="D961" i="13"/>
  <c r="C961" i="13" s="1"/>
  <c r="D960" i="13"/>
  <c r="C960" i="13" s="1"/>
  <c r="D959" i="13"/>
  <c r="C959" i="13" s="1"/>
  <c r="D958" i="13"/>
  <c r="C958" i="13" s="1"/>
  <c r="D963" i="13"/>
  <c r="C963" i="13" s="1"/>
  <c r="D962" i="13"/>
  <c r="C962" i="13" s="1"/>
  <c r="D957" i="13"/>
  <c r="C957" i="13" s="1"/>
  <c r="D955" i="13"/>
  <c r="C955" i="13" s="1"/>
  <c r="D956" i="13"/>
  <c r="C956" i="13" s="1"/>
  <c r="D954" i="13"/>
  <c r="C954" i="13" s="1"/>
  <c r="D952" i="13"/>
  <c r="C952" i="13" s="1"/>
  <c r="D949" i="13"/>
  <c r="D946" i="13"/>
  <c r="C946" i="13" s="1"/>
  <c r="D948" i="13"/>
  <c r="C948" i="13" s="1"/>
  <c r="D944" i="13"/>
  <c r="C944" i="13" s="1"/>
  <c r="D943" i="13"/>
  <c r="C943" i="13" s="1"/>
  <c r="D942" i="13"/>
  <c r="C942" i="13" s="1"/>
  <c r="D941" i="13"/>
  <c r="C941" i="13" s="1"/>
  <c r="D940" i="13"/>
  <c r="C940" i="13" s="1"/>
  <c r="D939" i="13"/>
  <c r="C939" i="13" s="1"/>
  <c r="D935" i="13"/>
  <c r="C935" i="13" s="1"/>
  <c r="D934" i="13"/>
  <c r="C934" i="13" s="1"/>
  <c r="D929" i="13"/>
  <c r="C929" i="13" s="1"/>
  <c r="D928" i="13"/>
  <c r="C928" i="13" s="1"/>
  <c r="D925" i="13"/>
  <c r="C925" i="13" s="1"/>
  <c r="D924" i="13"/>
  <c r="C924" i="13" s="1"/>
  <c r="D923" i="13"/>
  <c r="C923" i="13" s="1"/>
  <c r="D919" i="13"/>
  <c r="C919" i="13" s="1"/>
  <c r="D918" i="13"/>
  <c r="C918" i="13" s="1"/>
  <c r="D917" i="13"/>
  <c r="C917" i="13" s="1"/>
  <c r="D916" i="13"/>
  <c r="C916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9" i="13"/>
  <c r="C909" i="13" s="1"/>
  <c r="D920" i="13"/>
  <c r="C920" i="13" s="1"/>
  <c r="D906" i="13"/>
  <c r="C906" i="13" s="1"/>
  <c r="D903" i="13"/>
  <c r="C903" i="13" s="1"/>
  <c r="D902" i="13"/>
  <c r="C902" i="13" s="1"/>
  <c r="D901" i="13"/>
  <c r="C901" i="13" s="1"/>
  <c r="D900" i="13"/>
  <c r="C900" i="13" s="1"/>
  <c r="D899" i="13"/>
  <c r="C899" i="13" s="1"/>
  <c r="D897" i="13"/>
  <c r="C897" i="13" s="1"/>
  <c r="D891" i="13"/>
  <c r="C891" i="13" s="1"/>
  <c r="D890" i="13"/>
  <c r="C890" i="13" s="1"/>
  <c r="D889" i="13"/>
  <c r="C889" i="13" s="1"/>
  <c r="D888" i="13"/>
  <c r="C888" i="13" s="1"/>
  <c r="D887" i="13"/>
  <c r="C887" i="13" s="1"/>
  <c r="D1114" i="13"/>
  <c r="C1114" i="13" s="1"/>
  <c r="D1113" i="13"/>
  <c r="D886" i="13"/>
  <c r="D885" i="13"/>
  <c r="C885" i="13" s="1"/>
  <c r="D884" i="13"/>
  <c r="C884" i="13" s="1"/>
  <c r="D883" i="13"/>
  <c r="C883" i="13" s="1"/>
  <c r="D880" i="13"/>
  <c r="C880" i="13" s="1"/>
  <c r="D877" i="13"/>
  <c r="C877" i="13" s="1"/>
  <c r="D875" i="13"/>
  <c r="C875" i="13" s="1"/>
  <c r="D873" i="13"/>
  <c r="C873" i="13" s="1"/>
  <c r="D870" i="13"/>
  <c r="C870" i="13" s="1"/>
  <c r="D869" i="13"/>
  <c r="C869" i="13" s="1"/>
  <c r="D868" i="13"/>
  <c r="C868" i="13" s="1"/>
  <c r="D864" i="13"/>
  <c r="D860" i="13"/>
  <c r="D841" i="13"/>
  <c r="C841" i="13" s="1"/>
  <c r="D833" i="13"/>
  <c r="D802" i="13"/>
  <c r="D800" i="13"/>
  <c r="D790" i="13"/>
  <c r="D785" i="13"/>
  <c r="D784" i="13" s="1"/>
  <c r="D783" i="13"/>
  <c r="C783" i="13" s="1"/>
  <c r="D782" i="13"/>
  <c r="C782" i="13" s="1"/>
  <c r="D781" i="13"/>
  <c r="D769" i="13"/>
  <c r="D768" i="13" s="1"/>
  <c r="D763" i="13"/>
  <c r="D762" i="13" s="1"/>
  <c r="D758" i="13"/>
  <c r="C758" i="13" s="1"/>
  <c r="D757" i="13"/>
  <c r="D753" i="13"/>
  <c r="D752" i="13"/>
  <c r="D749" i="13"/>
  <c r="D747" i="13"/>
  <c r="D746" i="13" s="1"/>
  <c r="D744" i="13"/>
  <c r="C744" i="13" s="1"/>
  <c r="D745" i="13"/>
  <c r="C745" i="13" s="1"/>
  <c r="D743" i="13"/>
  <c r="C743" i="13" s="1"/>
  <c r="D742" i="13"/>
  <c r="D740" i="13"/>
  <c r="C740" i="13" s="1"/>
  <c r="D738" i="13"/>
  <c r="D736" i="13"/>
  <c r="D735" i="13" s="1"/>
  <c r="D718" i="13"/>
  <c r="D717" i="13"/>
  <c r="C717" i="13" s="1"/>
  <c r="D716" i="13"/>
  <c r="D709" i="13"/>
  <c r="C709" i="13" s="1"/>
  <c r="D708" i="13"/>
  <c r="C708" i="13" s="1"/>
  <c r="D705" i="13"/>
  <c r="C705" i="13" s="1"/>
  <c r="D704" i="13"/>
  <c r="C704" i="13" s="1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60" i="13"/>
  <c r="D657" i="13"/>
  <c r="D652" i="13"/>
  <c r="D651" i="13" s="1"/>
  <c r="D650" i="13"/>
  <c r="D649" i="13"/>
  <c r="D644" i="13"/>
  <c r="C644" i="13" s="1"/>
  <c r="D640" i="13"/>
  <c r="D638" i="13"/>
  <c r="D1124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77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65" i="13"/>
  <c r="C1065" i="13" s="1"/>
  <c r="D599" i="13"/>
  <c r="C599" i="13" s="1"/>
  <c r="D598" i="13"/>
  <c r="C598" i="13" s="1"/>
  <c r="D593" i="13"/>
  <c r="C593" i="13" s="1"/>
  <c r="D1055" i="13"/>
  <c r="C1055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31" i="13"/>
  <c r="C1031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08" i="13"/>
  <c r="C1008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33" i="13"/>
  <c r="C933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08" i="13"/>
  <c r="C908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1" i="13"/>
  <c r="C871" i="13" s="1"/>
  <c r="D430" i="13"/>
  <c r="C430" i="13" s="1"/>
  <c r="D429" i="13"/>
  <c r="C429" i="13" s="1"/>
  <c r="D427" i="13"/>
  <c r="C427" i="13" s="1"/>
  <c r="D426" i="13"/>
  <c r="C426" i="13" s="1"/>
  <c r="D862" i="13"/>
  <c r="C862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0" i="13"/>
  <c r="C780" i="13" s="1"/>
  <c r="D779" i="13"/>
  <c r="C779" i="13" s="1"/>
  <c r="D778" i="13"/>
  <c r="D774" i="13"/>
  <c r="D772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15" i="13"/>
  <c r="C1015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86" i="13"/>
  <c r="D981" i="13"/>
  <c r="C981" i="13" s="1"/>
  <c r="D980" i="13"/>
  <c r="C980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78" i="13"/>
  <c r="C878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66" i="13"/>
  <c r="C866" i="13" s="1"/>
  <c r="D428" i="13"/>
  <c r="C428" i="13" s="1"/>
  <c r="D865" i="13"/>
  <c r="C865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59" i="13"/>
  <c r="C759" i="13" s="1"/>
  <c r="D46" i="13"/>
  <c r="D45" i="13" s="1"/>
  <c r="D44" i="13"/>
  <c r="D43" i="13" s="1"/>
  <c r="D42" i="13"/>
  <c r="D41" i="13"/>
  <c r="D40" i="13"/>
  <c r="D39" i="13"/>
  <c r="D739" i="13"/>
  <c r="C739" i="13" s="1"/>
  <c r="D37" i="13"/>
  <c r="C37" i="13" s="1"/>
  <c r="D36" i="13"/>
  <c r="C36" i="13" s="1"/>
  <c r="D731" i="13"/>
  <c r="D34" i="13"/>
  <c r="D33" i="13" s="1"/>
  <c r="D32" i="13"/>
  <c r="C32" i="13" s="1"/>
  <c r="D31" i="13"/>
  <c r="D720" i="13"/>
  <c r="D719" i="13" s="1"/>
  <c r="D27" i="13"/>
  <c r="D26" i="13" s="1"/>
  <c r="D25" i="13"/>
  <c r="D24" i="13" s="1"/>
  <c r="D1141" i="13" l="1"/>
  <c r="D715" i="13"/>
  <c r="D741" i="13"/>
  <c r="D756" i="13"/>
  <c r="D1112" i="13"/>
  <c r="D725" i="13"/>
  <c r="D737" i="13"/>
  <c r="D748" i="13"/>
  <c r="D343" i="13"/>
  <c r="D338" i="13"/>
  <c r="D352" i="13"/>
  <c r="C316" i="13"/>
  <c r="C315" i="13" s="1"/>
  <c r="D315" i="13"/>
  <c r="C769" i="13"/>
  <c r="C768" i="13" s="1"/>
  <c r="D311" i="13"/>
  <c r="C357" i="13"/>
  <c r="C356" i="13" s="1"/>
  <c r="D356" i="13"/>
  <c r="D320" i="13"/>
  <c r="D348" i="13"/>
  <c r="D420" i="13"/>
  <c r="C1160" i="13"/>
  <c r="C1113" i="13"/>
  <c r="C1112" i="13" s="1"/>
  <c r="C774" i="13"/>
  <c r="C772" i="13" s="1"/>
  <c r="C337" i="13"/>
  <c r="C336" i="13" s="1"/>
  <c r="C35" i="13"/>
  <c r="C686" i="13"/>
  <c r="C312" i="13"/>
  <c r="C311" i="13" s="1"/>
  <c r="C339" i="13"/>
  <c r="C338" i="13" s="1"/>
  <c r="C354" i="13"/>
  <c r="C1135" i="13"/>
  <c r="C1134" i="13" s="1"/>
  <c r="C310" i="13"/>
  <c r="C309" i="13" s="1"/>
  <c r="C657" i="13"/>
  <c r="C736" i="13"/>
  <c r="C735" i="13" s="1"/>
  <c r="C757" i="13"/>
  <c r="C756" i="13" s="1"/>
  <c r="C781" i="13"/>
  <c r="C1122" i="13"/>
  <c r="C347" i="13"/>
  <c r="C346" i="13" s="1"/>
  <c r="C778" i="13"/>
  <c r="C329" i="13"/>
  <c r="C361" i="13"/>
  <c r="C360" i="13" s="1"/>
  <c r="C421" i="13"/>
  <c r="C420" i="13" s="1"/>
  <c r="C652" i="13"/>
  <c r="C651" i="13" s="1"/>
  <c r="C716" i="13"/>
  <c r="C742" i="13"/>
  <c r="C741" i="13" s="1"/>
  <c r="C747" i="13"/>
  <c r="C746" i="13" s="1"/>
  <c r="C785" i="13"/>
  <c r="C784" i="13" s="1"/>
  <c r="C738" i="13"/>
  <c r="C737" i="13" s="1"/>
  <c r="C321" i="13"/>
  <c r="C400" i="13"/>
  <c r="C417" i="13"/>
  <c r="C416" i="13" s="1"/>
  <c r="C679" i="13"/>
  <c r="C725" i="13"/>
  <c r="C763" i="13"/>
  <c r="C762" i="13" s="1"/>
  <c r="C860" i="13"/>
  <c r="C1118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0" i="13"/>
  <c r="C719" i="13" s="1"/>
  <c r="C777" i="13" l="1"/>
  <c r="V772" i="13"/>
  <c r="G1184" i="13"/>
  <c r="G1183" i="13" s="1"/>
  <c r="E665" i="13"/>
  <c r="E658" i="13" s="1"/>
  <c r="G648" i="13"/>
  <c r="G647" i="13" s="1"/>
  <c r="E1108" i="13"/>
  <c r="E1107" i="13" s="1"/>
  <c r="J951" i="13"/>
  <c r="J497" i="13"/>
  <c r="J485" i="13"/>
  <c r="D485" i="13" s="1"/>
  <c r="C485" i="13" s="1"/>
  <c r="J922" i="13"/>
  <c r="J892" i="13"/>
  <c r="J893" i="13"/>
  <c r="J882" i="13"/>
  <c r="J881" i="13"/>
  <c r="J437" i="13"/>
  <c r="J872" i="13"/>
  <c r="F394" i="13"/>
  <c r="F389" i="13" s="1"/>
  <c r="G342" i="13"/>
  <c r="G341" i="13" s="1"/>
  <c r="F342" i="13"/>
  <c r="F341" i="13" s="1"/>
  <c r="J308" i="13"/>
  <c r="J292" i="13"/>
  <c r="J687" i="13"/>
  <c r="J683" i="13" s="1"/>
  <c r="J289" i="13" l="1"/>
  <c r="D1023" i="13"/>
  <c r="C1023" i="13" s="1"/>
  <c r="D1108" i="13"/>
  <c r="D666" i="13"/>
  <c r="C666" i="13" s="1"/>
  <c r="D707" i="13"/>
  <c r="C707" i="13" s="1"/>
  <c r="D973" i="13"/>
  <c r="C973" i="13" s="1"/>
  <c r="D641" i="13"/>
  <c r="D1167" i="13"/>
  <c r="C1167" i="13" s="1"/>
  <c r="D1163" i="13"/>
  <c r="D394" i="13"/>
  <c r="D589" i="13"/>
  <c r="C589" i="13" s="1"/>
  <c r="D597" i="13"/>
  <c r="C597" i="13" s="1"/>
  <c r="D662" i="13"/>
  <c r="C662" i="13" s="1"/>
  <c r="D667" i="13"/>
  <c r="C667" i="13" s="1"/>
  <c r="D799" i="13"/>
  <c r="D805" i="13"/>
  <c r="C805" i="13" s="1"/>
  <c r="D930" i="13"/>
  <c r="C930" i="13" s="1"/>
  <c r="D1062" i="13"/>
  <c r="C1062" i="13" s="1"/>
  <c r="D639" i="13"/>
  <c r="D777" i="13"/>
  <c r="D1123" i="13"/>
  <c r="D1121" i="13" s="1"/>
  <c r="D1139" i="13"/>
  <c r="D1138" i="13" s="1"/>
  <c r="D1166" i="13"/>
  <c r="D546" i="13"/>
  <c r="D596" i="13"/>
  <c r="D629" i="13"/>
  <c r="C629" i="13" s="1"/>
  <c r="D661" i="13"/>
  <c r="C661" i="13" s="1"/>
  <c r="D665" i="13"/>
  <c r="D706" i="13"/>
  <c r="C706" i="13" s="1"/>
  <c r="D730" i="13"/>
  <c r="C730" i="13" s="1"/>
  <c r="D798" i="13"/>
  <c r="D804" i="13"/>
  <c r="D817" i="13"/>
  <c r="C817" i="13" s="1"/>
  <c r="D907" i="13"/>
  <c r="D967" i="13"/>
  <c r="C967" i="13" s="1"/>
  <c r="D1028" i="13"/>
  <c r="C1028" i="13" s="1"/>
  <c r="D1094" i="13"/>
  <c r="C1094" i="13" s="1"/>
  <c r="D1169" i="13"/>
  <c r="C1169" i="13" s="1"/>
  <c r="D1171" i="13"/>
  <c r="C1171" i="13" s="1"/>
  <c r="D1176" i="13"/>
  <c r="C1176" i="13" s="1"/>
  <c r="D765" i="13"/>
  <c r="D764" i="13" s="1"/>
  <c r="D793" i="13"/>
  <c r="D855" i="13"/>
  <c r="D342" i="13"/>
  <c r="D341" i="13" s="1"/>
  <c r="D628" i="13"/>
  <c r="D648" i="13"/>
  <c r="D647" i="13" s="1"/>
  <c r="D713" i="13"/>
  <c r="D876" i="13"/>
  <c r="D1119" i="13"/>
  <c r="D1117" i="13" s="1"/>
  <c r="D1136" i="13"/>
  <c r="D856" i="13"/>
  <c r="C856" i="13" s="1"/>
  <c r="D437" i="13"/>
  <c r="C437" i="13" s="1"/>
  <c r="D882" i="13"/>
  <c r="C88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29" i="13"/>
  <c r="D803" i="13"/>
  <c r="D816" i="13"/>
  <c r="C816" i="13" s="1"/>
  <c r="D896" i="13"/>
  <c r="D966" i="13"/>
  <c r="C966" i="13" s="1"/>
  <c r="D1017" i="13"/>
  <c r="C1017" i="13" s="1"/>
  <c r="D1093" i="13"/>
  <c r="C1093" i="13" s="1"/>
  <c r="D1168" i="13"/>
  <c r="C1168" i="13" s="1"/>
  <c r="D1165" i="13"/>
  <c r="C1165" i="13" s="1"/>
  <c r="D1170" i="13"/>
  <c r="C1170" i="13" s="1"/>
  <c r="D1173" i="13"/>
  <c r="C1173" i="13" s="1"/>
  <c r="D1184" i="13"/>
  <c r="D1183" i="13" s="1"/>
  <c r="D1182" i="13"/>
  <c r="D1181" i="13" s="1"/>
  <c r="D633" i="13"/>
  <c r="D1154" i="13"/>
  <c r="D690" i="13"/>
  <c r="D776" i="13"/>
  <c r="D775" i="13" s="1"/>
  <c r="D814" i="13"/>
  <c r="D1024" i="13"/>
  <c r="C1024" i="13" s="1"/>
  <c r="D594" i="13"/>
  <c r="C594" i="13" s="1"/>
  <c r="D1066" i="13"/>
  <c r="C1066" i="13" s="1"/>
  <c r="D642" i="13"/>
  <c r="C642" i="13" s="1"/>
  <c r="D663" i="13"/>
  <c r="C663" i="13" s="1"/>
  <c r="D668" i="13"/>
  <c r="C668" i="13" s="1"/>
  <c r="D794" i="13"/>
  <c r="D797" i="13"/>
  <c r="D801" i="13"/>
  <c r="D936" i="13"/>
  <c r="C936" i="13" s="1"/>
  <c r="D1010" i="13"/>
  <c r="C1010" i="13" s="1"/>
  <c r="D1092" i="13"/>
  <c r="C1092" i="13" s="1"/>
  <c r="D1164" i="13"/>
  <c r="D1172" i="13"/>
  <c r="C1172" i="13" s="1"/>
  <c r="D872" i="13"/>
  <c r="C872" i="13" s="1"/>
  <c r="D497" i="13"/>
  <c r="C497" i="13" s="1"/>
  <c r="D687" i="13"/>
  <c r="D292" i="13"/>
  <c r="C292" i="13" s="1"/>
  <c r="D881" i="13"/>
  <c r="C881" i="13" s="1"/>
  <c r="D893" i="13"/>
  <c r="C893" i="13" s="1"/>
  <c r="D892" i="13"/>
  <c r="C892" i="13" s="1"/>
  <c r="D922" i="13"/>
  <c r="C922" i="13" s="1"/>
  <c r="D308" i="13"/>
  <c r="D951" i="13"/>
  <c r="C951" i="13" s="1"/>
  <c r="D1133" i="13"/>
  <c r="J1109" i="13"/>
  <c r="J1107" i="13" s="1"/>
  <c r="J1104" i="13"/>
  <c r="J1103" i="13" s="1"/>
  <c r="J853" i="13"/>
  <c r="J852" i="13"/>
  <c r="J848" i="13"/>
  <c r="J847" i="13"/>
  <c r="J846" i="13"/>
  <c r="J845" i="13"/>
  <c r="J844" i="13"/>
  <c r="J838" i="13"/>
  <c r="J834" i="13"/>
  <c r="J830" i="13"/>
  <c r="J826" i="13"/>
  <c r="J822" i="13"/>
  <c r="J823" i="13"/>
  <c r="J821" i="13"/>
  <c r="J795" i="13"/>
  <c r="G795" i="13"/>
  <c r="J728" i="13"/>
  <c r="J727" i="13" s="1"/>
  <c r="G728" i="13"/>
  <c r="G727" i="13" s="1"/>
  <c r="J724" i="13"/>
  <c r="G721" i="13"/>
  <c r="J722" i="13"/>
  <c r="D1132" i="13"/>
  <c r="D646" i="13"/>
  <c r="D645" i="13" s="1"/>
  <c r="J565" i="13"/>
  <c r="J861" i="13"/>
  <c r="J412" i="13"/>
  <c r="J411" i="13"/>
  <c r="J410" i="13"/>
  <c r="J408" i="13"/>
  <c r="J407" i="13"/>
  <c r="J406" i="13"/>
  <c r="J405" i="13"/>
  <c r="J409" i="13"/>
  <c r="J403" i="13"/>
  <c r="J835" i="13"/>
  <c r="J828" i="13"/>
  <c r="J393" i="13"/>
  <c r="J391" i="13"/>
  <c r="J390" i="13"/>
  <c r="J813" i="13"/>
  <c r="J812" i="13"/>
  <c r="J385" i="13"/>
  <c r="E385" i="13"/>
  <c r="E382" i="13" s="1"/>
  <c r="J384" i="13"/>
  <c r="J383" i="13"/>
  <c r="J809" i="13"/>
  <c r="J807" i="13"/>
  <c r="J806" i="13" s="1"/>
  <c r="G807" i="13"/>
  <c r="G806" i="13" s="1"/>
  <c r="J379" i="13"/>
  <c r="J376" i="13"/>
  <c r="J375" i="13"/>
  <c r="E375" i="13"/>
  <c r="E362" i="13" s="1"/>
  <c r="J791" i="13"/>
  <c r="G791" i="13"/>
  <c r="E791" i="13"/>
  <c r="E677" i="13" s="1"/>
  <c r="J377" i="13"/>
  <c r="J373" i="13"/>
  <c r="J374" i="13"/>
  <c r="J372" i="13"/>
  <c r="J371" i="13"/>
  <c r="J369" i="13"/>
  <c r="F369" i="13"/>
  <c r="J368" i="13"/>
  <c r="J367" i="13"/>
  <c r="F367" i="13"/>
  <c r="J734" i="13"/>
  <c r="J733" i="13" s="1"/>
  <c r="J319" i="13"/>
  <c r="J318" i="13" s="1"/>
  <c r="J723" i="13"/>
  <c r="F723" i="13"/>
  <c r="F721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52" i="13"/>
  <c r="G1052" i="13"/>
  <c r="J1051" i="13"/>
  <c r="G1051" i="13"/>
  <c r="J586" i="13"/>
  <c r="J212" i="13"/>
  <c r="H212" i="13"/>
  <c r="F212" i="13"/>
  <c r="J211" i="13"/>
  <c r="J208" i="13"/>
  <c r="H208" i="13"/>
  <c r="J207" i="13"/>
  <c r="J206" i="13"/>
  <c r="J205" i="13"/>
  <c r="J530" i="13"/>
  <c r="J978" i="13"/>
  <c r="G978" i="13"/>
  <c r="J977" i="13"/>
  <c r="G977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895" i="13"/>
  <c r="G895" i="13"/>
  <c r="E895" i="13"/>
  <c r="E859" i="13" s="1"/>
  <c r="J155" i="13"/>
  <c r="H155" i="13"/>
  <c r="J153" i="13"/>
  <c r="J152" i="13"/>
  <c r="J151" i="13"/>
  <c r="J879" i="13"/>
  <c r="H879" i="13"/>
  <c r="H859" i="13" s="1"/>
  <c r="G879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J851" i="13" l="1"/>
  <c r="J721" i="13"/>
  <c r="J859" i="13"/>
  <c r="G859" i="13"/>
  <c r="G677" i="13"/>
  <c r="J808" i="13"/>
  <c r="J818" i="13"/>
  <c r="D854" i="13"/>
  <c r="H425" i="13"/>
  <c r="J286" i="13"/>
  <c r="J362" i="13"/>
  <c r="J827" i="13"/>
  <c r="D1151" i="13"/>
  <c r="D627" i="13"/>
  <c r="D712" i="13"/>
  <c r="F286" i="13"/>
  <c r="J677" i="13"/>
  <c r="J831" i="13"/>
  <c r="D683" i="13"/>
  <c r="F362" i="13"/>
  <c r="C1182" i="13"/>
  <c r="C1181" i="13" s="1"/>
  <c r="J382" i="13"/>
  <c r="J399" i="13"/>
  <c r="J389" i="13"/>
  <c r="D632" i="13"/>
  <c r="C1133" i="13"/>
  <c r="C690" i="13"/>
  <c r="C1164" i="13"/>
  <c r="C729" i="13"/>
  <c r="C665" i="13"/>
  <c r="C658" i="13" s="1"/>
  <c r="D658" i="13"/>
  <c r="C641" i="13"/>
  <c r="D635" i="13"/>
  <c r="C308" i="13"/>
  <c r="D289" i="13"/>
  <c r="C907" i="13"/>
  <c r="C646" i="13"/>
  <c r="C645" i="13" s="1"/>
  <c r="C596" i="13"/>
  <c r="C1163" i="13"/>
  <c r="E68" i="13"/>
  <c r="E104" i="13"/>
  <c r="I68" i="13"/>
  <c r="E96" i="13"/>
  <c r="I96" i="13"/>
  <c r="I104" i="13"/>
  <c r="H89" i="13"/>
  <c r="G244" i="13"/>
  <c r="H96" i="13"/>
  <c r="H104" i="13"/>
  <c r="C1119" i="13"/>
  <c r="C1117" i="13" s="1"/>
  <c r="C628" i="13"/>
  <c r="C627" i="13" s="1"/>
  <c r="C765" i="13"/>
  <c r="C764" i="13" s="1"/>
  <c r="J237" i="13"/>
  <c r="F244" i="13"/>
  <c r="J244" i="13"/>
  <c r="C876" i="13"/>
  <c r="C1166" i="13"/>
  <c r="C687" i="13"/>
  <c r="C776" i="13"/>
  <c r="C775" i="13" s="1"/>
  <c r="C633" i="13"/>
  <c r="C632" i="13" s="1"/>
  <c r="C1137" i="13"/>
  <c r="C1136" i="13" s="1"/>
  <c r="C1123" i="13"/>
  <c r="F89" i="13"/>
  <c r="C342" i="13"/>
  <c r="C341" i="13" s="1"/>
  <c r="C814" i="13"/>
  <c r="C1154" i="13"/>
  <c r="C1184" i="13"/>
  <c r="C1183" i="13" s="1"/>
  <c r="C713" i="13"/>
  <c r="C855" i="13"/>
  <c r="C854" i="13" s="1"/>
  <c r="C1139" i="13"/>
  <c r="C1138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795" i="13"/>
  <c r="D822" i="13"/>
  <c r="C822" i="13" s="1"/>
  <c r="D838" i="13"/>
  <c r="C838" i="13" s="1"/>
  <c r="D845" i="13"/>
  <c r="C845" i="13" s="1"/>
  <c r="D847" i="13"/>
  <c r="C847" i="13" s="1"/>
  <c r="D723" i="13"/>
  <c r="D734" i="13"/>
  <c r="D733" i="13" s="1"/>
  <c r="D728" i="13"/>
  <c r="D727" i="13" s="1"/>
  <c r="D105" i="13"/>
  <c r="D238" i="13"/>
  <c r="D245" i="13"/>
  <c r="D254" i="13"/>
  <c r="D251" i="13" s="1"/>
  <c r="D367" i="13"/>
  <c r="D807" i="13"/>
  <c r="D806" i="13" s="1"/>
  <c r="D76" i="13"/>
  <c r="D879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51" i="13"/>
  <c r="C1051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3" i="13"/>
  <c r="C813" i="13" s="1"/>
  <c r="D391" i="13"/>
  <c r="C391" i="13" s="1"/>
  <c r="D823" i="13"/>
  <c r="C823" i="13" s="1"/>
  <c r="D852" i="13"/>
  <c r="D1104" i="13"/>
  <c r="D1103" i="13" s="1"/>
  <c r="D98" i="13"/>
  <c r="D117" i="13"/>
  <c r="D116" i="13" s="1"/>
  <c r="D287" i="13"/>
  <c r="D319" i="13"/>
  <c r="D318" i="13" s="1"/>
  <c r="D835" i="13"/>
  <c r="C835" i="13" s="1"/>
  <c r="D861" i="13"/>
  <c r="D821" i="13"/>
  <c r="D1109" i="13"/>
  <c r="D1107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78" i="13"/>
  <c r="C978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4" i="13"/>
  <c r="C724" i="13" s="1"/>
  <c r="D834" i="13"/>
  <c r="C834" i="13" s="1"/>
  <c r="D844" i="13"/>
  <c r="C844" i="13" s="1"/>
  <c r="D846" i="13"/>
  <c r="C846" i="13" s="1"/>
  <c r="D848" i="13"/>
  <c r="C848" i="13" s="1"/>
  <c r="D853" i="13"/>
  <c r="C853" i="13" s="1"/>
  <c r="D656" i="13"/>
  <c r="D655" i="13" s="1"/>
  <c r="D828" i="13"/>
  <c r="D722" i="13"/>
  <c r="D830" i="13"/>
  <c r="D1131" i="13"/>
  <c r="D60" i="13"/>
  <c r="D59" i="13" s="1"/>
  <c r="D94" i="13"/>
  <c r="D74" i="13"/>
  <c r="D87" i="13"/>
  <c r="D119" i="13"/>
  <c r="D258" i="13"/>
  <c r="D257" i="13" s="1"/>
  <c r="D809" i="13"/>
  <c r="D390" i="13"/>
  <c r="D1130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895" i="13"/>
  <c r="C895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77" i="13"/>
  <c r="C977" i="13" s="1"/>
  <c r="D530" i="13"/>
  <c r="C530" i="13" s="1"/>
  <c r="D206" i="13"/>
  <c r="D208" i="13"/>
  <c r="D212" i="13"/>
  <c r="C212" i="13" s="1"/>
  <c r="D586" i="13"/>
  <c r="C586" i="13" s="1"/>
  <c r="D1052" i="13"/>
  <c r="C1052" i="13" s="1"/>
  <c r="D240" i="13"/>
  <c r="C240" i="13" s="1"/>
  <c r="D246" i="13"/>
  <c r="D368" i="13"/>
  <c r="D371" i="13"/>
  <c r="D373" i="13"/>
  <c r="D791" i="13"/>
  <c r="D376" i="13"/>
  <c r="D379" i="13"/>
  <c r="D384" i="13"/>
  <c r="C384" i="13" s="1"/>
  <c r="D812" i="13"/>
  <c r="C812" i="13" s="1"/>
  <c r="D393" i="13"/>
  <c r="C393" i="13" s="1"/>
  <c r="D826" i="13"/>
  <c r="C826" i="13" s="1"/>
  <c r="J325" i="13"/>
  <c r="J323" i="13" s="1"/>
  <c r="I35" i="13"/>
  <c r="H325" i="13"/>
  <c r="H323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G681" i="13"/>
  <c r="J680" i="13"/>
  <c r="G680" i="13"/>
  <c r="J439" i="13"/>
  <c r="I120" i="13"/>
  <c r="H120" i="13"/>
  <c r="G120" i="13"/>
  <c r="F120" i="13"/>
  <c r="E120" i="13"/>
  <c r="D721" i="13" l="1"/>
  <c r="D808" i="13"/>
  <c r="D677" i="13" s="1"/>
  <c r="H285" i="13"/>
  <c r="D1129" i="13"/>
  <c r="D827" i="13"/>
  <c r="D851" i="13"/>
  <c r="J678" i="13"/>
  <c r="D818" i="13"/>
  <c r="C1151" i="13"/>
  <c r="G678" i="13"/>
  <c r="D389" i="13"/>
  <c r="J120" i="13"/>
  <c r="J425" i="13"/>
  <c r="J285" i="13" s="1"/>
  <c r="C409" i="13"/>
  <c r="D399" i="13"/>
  <c r="D362" i="13"/>
  <c r="C288" i="13"/>
  <c r="D286" i="13"/>
  <c r="V1183" i="13"/>
  <c r="C807" i="13"/>
  <c r="C806" i="13" s="1"/>
  <c r="C464" i="13"/>
  <c r="I10" i="13"/>
  <c r="I8" i="13" s="1"/>
  <c r="F35" i="13"/>
  <c r="F10" i="13" s="1"/>
  <c r="H35" i="13"/>
  <c r="H10" i="13" s="1"/>
  <c r="J35" i="13"/>
  <c r="E35" i="13"/>
  <c r="E10" i="13" s="1"/>
  <c r="G35" i="13"/>
  <c r="G10" i="13" s="1"/>
  <c r="C287" i="13"/>
  <c r="C809" i="13"/>
  <c r="C808" i="13" s="1"/>
  <c r="C830" i="13"/>
  <c r="C1109" i="13"/>
  <c r="C319" i="13"/>
  <c r="C318" i="13" s="1"/>
  <c r="C734" i="13"/>
  <c r="C733" i="13" s="1"/>
  <c r="C722" i="13"/>
  <c r="C821" i="13"/>
  <c r="C818" i="13" s="1"/>
  <c r="C1104" i="13"/>
  <c r="C1103" i="13" s="1"/>
  <c r="C728" i="13"/>
  <c r="C723" i="13"/>
  <c r="C390" i="13"/>
  <c r="C1131" i="13"/>
  <c r="C1130" i="13"/>
  <c r="C828" i="13"/>
  <c r="C827" i="13" s="1"/>
  <c r="C852" i="13"/>
  <c r="C851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H8" i="13" l="1"/>
  <c r="C721" i="13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80" i="13"/>
  <c r="C678" i="13" s="1"/>
  <c r="C267" i="13"/>
  <c r="C266" i="13" s="1"/>
  <c r="V267" i="13"/>
  <c r="C439" i="13"/>
  <c r="D1148" i="13"/>
  <c r="D1147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148" i="13"/>
  <c r="C1147" i="13" s="1"/>
  <c r="V331" i="13"/>
  <c r="D331" i="13"/>
  <c r="D983" i="13"/>
  <c r="D859" i="13" s="1"/>
  <c r="D1111" i="13"/>
  <c r="D1110" i="13" s="1"/>
  <c r="D332" i="13"/>
  <c r="D328" i="13" l="1"/>
  <c r="C332" i="13"/>
  <c r="C983" i="13"/>
  <c r="C1111" i="13"/>
  <c r="C1110" i="13" s="1"/>
  <c r="C331" i="13"/>
  <c r="D832" i="13"/>
  <c r="D831" i="13" s="1"/>
  <c r="N630" i="13"/>
  <c r="C328" i="13" l="1"/>
  <c r="C832" i="13"/>
  <c r="C753" i="13"/>
  <c r="V753" i="13"/>
  <c r="C752" i="13"/>
  <c r="V752" i="13"/>
  <c r="C749" i="13"/>
  <c r="V749" i="13"/>
  <c r="V631" i="13"/>
  <c r="C344" i="13"/>
  <c r="C343" i="13" s="1"/>
  <c r="V344" i="13"/>
  <c r="D755" i="13"/>
  <c r="D754" i="13" s="1"/>
  <c r="D631" i="13"/>
  <c r="D630" i="13" s="1"/>
  <c r="C748" i="13" l="1"/>
  <c r="V748" i="13" s="1"/>
  <c r="C631" i="13"/>
  <c r="C630" i="13" s="1"/>
  <c r="C755" i="13"/>
  <c r="C754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124" i="13"/>
  <c r="C1121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31" i="13"/>
  <c r="C727" i="13" s="1"/>
  <c r="C290" i="13"/>
  <c r="C208" i="13"/>
  <c r="C1077" i="13"/>
  <c r="C182" i="13"/>
  <c r="V220" i="13"/>
  <c r="C604" i="13"/>
  <c r="S372" i="13"/>
  <c r="S371" i="13"/>
  <c r="P367" i="13"/>
  <c r="P369" i="13"/>
  <c r="C282" i="13"/>
  <c r="C280" i="13"/>
  <c r="P164" i="13"/>
  <c r="V164" i="13"/>
  <c r="C861" i="13"/>
  <c r="C896" i="13"/>
  <c r="C864" i="13"/>
  <c r="C349" i="13"/>
  <c r="C348" i="13" s="1"/>
  <c r="C685" i="13"/>
  <c r="C355" i="13"/>
  <c r="C352" i="13" s="1"/>
  <c r="C27" i="13"/>
  <c r="C26" i="13" s="1"/>
  <c r="C718" i="13"/>
  <c r="C715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1" i="13"/>
  <c r="S375" i="13"/>
  <c r="P378" i="13"/>
  <c r="S378" i="13"/>
  <c r="P379" i="13"/>
  <c r="S379" i="13"/>
  <c r="C380" i="13"/>
  <c r="C381" i="13"/>
  <c r="P790" i="13"/>
  <c r="S790" i="13"/>
  <c r="P793" i="13"/>
  <c r="S793" i="13"/>
  <c r="P794" i="13"/>
  <c r="S794" i="13"/>
  <c r="P795" i="13"/>
  <c r="S795" i="13"/>
  <c r="S797" i="13"/>
  <c r="S798" i="13"/>
  <c r="P799" i="13"/>
  <c r="C800" i="13"/>
  <c r="S801" i="13"/>
  <c r="S802" i="13"/>
  <c r="S803" i="13"/>
  <c r="S804" i="13"/>
  <c r="P677" i="13" l="1"/>
  <c r="S677" i="13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089" i="13"/>
  <c r="C306" i="13"/>
  <c r="C289" i="13" s="1"/>
  <c r="R104" i="13"/>
  <c r="V46" i="13"/>
  <c r="C52" i="13"/>
  <c r="R49" i="13"/>
  <c r="C879" i="13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986" i="13"/>
  <c r="V986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3" i="13"/>
  <c r="C831" i="13" s="1"/>
  <c r="V833" i="13"/>
  <c r="C246" i="13"/>
  <c r="C106" i="13"/>
  <c r="C117" i="13"/>
  <c r="C1108" i="13"/>
  <c r="C1107" i="13" s="1"/>
  <c r="C364" i="13"/>
  <c r="C373" i="13"/>
  <c r="C82" i="13"/>
  <c r="C80" i="13"/>
  <c r="C69" i="13"/>
  <c r="C79" i="13"/>
  <c r="C75" i="13"/>
  <c r="C448" i="13"/>
  <c r="C546" i="13"/>
  <c r="C369" i="13"/>
  <c r="C245" i="13"/>
  <c r="C386" i="13"/>
  <c r="C804" i="13"/>
  <c r="C798" i="13"/>
  <c r="C803" i="13"/>
  <c r="C797" i="13"/>
  <c r="C791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794" i="13"/>
  <c r="C790" i="13"/>
  <c r="C46" i="13"/>
  <c r="C45" i="13" s="1"/>
  <c r="C398" i="13"/>
  <c r="C397" i="13" s="1"/>
  <c r="C164" i="13"/>
  <c r="C367" i="13"/>
  <c r="C802" i="13"/>
  <c r="C377" i="13"/>
  <c r="C83" i="13"/>
  <c r="C76" i="13"/>
  <c r="C886" i="13"/>
  <c r="C949" i="13"/>
  <c r="C371" i="13"/>
  <c r="C795" i="13"/>
  <c r="C793" i="13"/>
  <c r="C1143" i="13"/>
  <c r="C1141" i="13" s="1"/>
  <c r="C712" i="13"/>
  <c r="C801" i="13"/>
  <c r="C799" i="13"/>
  <c r="C379" i="13"/>
  <c r="C378" i="13"/>
  <c r="C375" i="13"/>
  <c r="C77" i="13"/>
  <c r="C74" i="13"/>
  <c r="C691" i="13"/>
  <c r="C683" i="13" s="1"/>
  <c r="C395" i="13"/>
  <c r="C372" i="13"/>
  <c r="C253" i="13"/>
  <c r="C1132" i="13"/>
  <c r="C1129" i="13" s="1"/>
  <c r="V26" i="13"/>
  <c r="V346" i="13"/>
  <c r="V420" i="13"/>
  <c r="V672" i="13"/>
  <c r="V768" i="13"/>
  <c r="V775" i="13"/>
  <c r="V851" i="13"/>
  <c r="V1136" i="13"/>
  <c r="V118" i="13"/>
  <c r="V719" i="13"/>
  <c r="V43" i="13"/>
  <c r="V266" i="13"/>
  <c r="V309" i="13"/>
  <c r="V733" i="13"/>
  <c r="V764" i="13"/>
  <c r="V827" i="13"/>
  <c r="V854" i="13"/>
  <c r="V1134" i="13"/>
  <c r="V1181" i="13"/>
  <c r="C677" i="13" l="1"/>
  <c r="C859" i="13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2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285" i="13" l="1"/>
  <c r="V89" i="13"/>
  <c r="V10" i="13"/>
  <c r="C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54" i="13"/>
  <c r="V35" i="13" l="1"/>
  <c r="V68" i="13"/>
  <c r="V242" i="13" l="1"/>
  <c r="V735" i="13"/>
</calcChain>
</file>

<file path=xl/sharedStrings.xml><?xml version="1.0" encoding="utf-8"?>
<sst xmlns="http://schemas.openxmlformats.org/spreadsheetml/2006/main" count="2248" uniqueCount="2017">
  <si>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</si>
  <si>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</si>
  <si>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</si>
  <si>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</si>
  <si>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</si>
  <si>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</si>
  <si>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</si>
  <si>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</si>
  <si>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</si>
  <si>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</si>
  <si>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</si>
  <si>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</si>
  <si>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</si>
  <si>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</si>
  <si>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</si>
  <si>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</si>
  <si>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</si>
  <si>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</si>
  <si>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</si>
  <si>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</si>
  <si>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</si>
  <si>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</si>
  <si>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</si>
  <si>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</si>
  <si>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</si>
  <si>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</si>
  <si>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</si>
  <si>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</si>
  <si>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</si>
  <si>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</si>
  <si>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</si>
  <si>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</si>
  <si>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</si>
  <si>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</si>
  <si>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</si>
  <si>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</si>
  <si>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</si>
  <si>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</si>
  <si>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</si>
  <si>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</si>
  <si>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</si>
  <si>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</si>
  <si>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</si>
  <si>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</si>
  <si>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</si>
  <si>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</si>
  <si>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</si>
  <si>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</si>
  <si>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</si>
  <si>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</si>
  <si>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</si>
  <si>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</si>
  <si>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</si>
  <si>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</si>
  <si>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</si>
  <si>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</si>
  <si>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</si>
  <si>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</si>
  <si>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</si>
  <si>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</si>
  <si>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</si>
  <si>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</si>
  <si>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</si>
  <si>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</si>
  <si>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</si>
  <si>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</si>
  <si>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</si>
  <si>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</si>
  <si>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</si>
  <si>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</si>
  <si>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</si>
  <si>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</si>
  <si>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</si>
  <si>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</si>
  <si>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</si>
  <si>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</si>
  <si>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</si>
  <si>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</si>
  <si>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</si>
  <si>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</si>
  <si>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</si>
  <si>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</si>
  <si>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</si>
  <si>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</si>
  <si>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</si>
  <si>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</si>
  <si>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</si>
  <si>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</si>
  <si>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</si>
  <si>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</si>
  <si>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</si>
  <si>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</si>
  <si>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</si>
  <si>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</si>
  <si>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</si>
  <si>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</si>
  <si>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</si>
  <si>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</si>
  <si>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</si>
  <si>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</si>
  <si>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</si>
  <si>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</si>
  <si>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</si>
  <si>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</si>
  <si>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</si>
  <si>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</si>
  <si>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</si>
  <si>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</si>
  <si>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</si>
  <si>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</si>
  <si>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</si>
  <si>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</si>
  <si>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</si>
  <si>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</si>
  <si>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</si>
  <si>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</si>
  <si>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</si>
  <si>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</si>
  <si>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</si>
  <si>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</si>
  <si>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</si>
  <si>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</si>
  <si>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</si>
  <si>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</si>
  <si>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</si>
  <si>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</si>
  <si>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</si>
  <si>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</si>
  <si>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</si>
  <si>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</si>
  <si>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</si>
  <si>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</si>
  <si>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</si>
  <si>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</si>
  <si>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</si>
  <si>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</si>
  <si>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</si>
  <si>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</si>
  <si>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</si>
  <si>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</si>
  <si>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</si>
  <si>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</si>
  <si>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</si>
  <si>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</si>
  <si>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</si>
  <si>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</si>
  <si>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</si>
  <si>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</si>
  <si>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</si>
  <si>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</si>
  <si>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</si>
  <si>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</si>
  <si>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</si>
  <si>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</si>
  <si>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</si>
  <si>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</si>
  <si>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</si>
  <si>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</si>
  <si>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</si>
  <si>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</si>
  <si>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</si>
  <si>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</si>
  <si>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</si>
  <si>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</si>
  <si>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</si>
  <si>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</si>
  <si>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</si>
  <si>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</si>
  <si>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</si>
  <si>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</si>
  <si>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</si>
  <si>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</si>
  <si>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</si>
  <si>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</si>
  <si>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</si>
  <si>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</si>
  <si>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</si>
  <si>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</si>
  <si>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</si>
  <si>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</si>
  <si>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</si>
  <si>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</si>
  <si>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</si>
  <si>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</si>
  <si>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</si>
  <si>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</si>
  <si>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</si>
  <si>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</si>
  <si>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</si>
  <si>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</si>
  <si>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</si>
  <si>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</si>
  <si>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</si>
  <si>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</si>
  <si>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</si>
  <si>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</si>
  <si>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</si>
  <si>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</si>
  <si>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</si>
  <si>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</si>
  <si>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</si>
  <si>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</si>
  <si>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</si>
  <si>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</si>
  <si>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</si>
  <si>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</si>
  <si>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</si>
  <si>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</si>
  <si>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</si>
  <si>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</si>
  <si>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</si>
  <si>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</si>
  <si>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</si>
  <si>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</si>
  <si>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</si>
  <si>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</si>
  <si>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</si>
  <si>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</si>
  <si>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</si>
  <si>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</si>
  <si>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</si>
  <si>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</si>
  <si>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</si>
  <si>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</si>
  <si>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</si>
  <si>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</si>
  <si>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</si>
  <si>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</si>
  <si>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</si>
  <si>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</si>
  <si>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</si>
  <si>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</si>
  <si>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</si>
  <si>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</si>
  <si>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</si>
  <si>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</si>
  <si>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</si>
  <si>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</si>
  <si>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</si>
  <si>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</si>
  <si>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</si>
  <si>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</si>
  <si>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</si>
  <si>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</si>
  <si>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</si>
  <si>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</si>
  <si>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</si>
  <si>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</si>
  <si>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</si>
  <si>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</si>
  <si>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</si>
  <si>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</si>
  <si>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</si>
  <si>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</si>
  <si>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</si>
  <si>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</si>
  <si>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</si>
  <si>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</si>
  <si>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</si>
  <si>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</si>
  <si>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</si>
  <si>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</si>
  <si>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</si>
  <si>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</si>
  <si>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</si>
  <si>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</si>
  <si>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</si>
  <si>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</si>
  <si>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</si>
  <si>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</si>
  <si>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</si>
  <si>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</si>
  <si>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</si>
  <si>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</si>
  <si>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</si>
  <si>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</si>
  <si>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</si>
  <si>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</si>
  <si>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</si>
  <si>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</si>
  <si>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</si>
  <si>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</si>
  <si>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</si>
  <si>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</si>
  <si>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</si>
  <si>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</si>
  <si>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</si>
  <si>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</si>
  <si>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</si>
  <si>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</si>
  <si>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</si>
  <si>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</si>
  <si>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</si>
  <si>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</si>
  <si>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</si>
  <si>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</si>
  <si>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</si>
  <si>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</si>
  <si>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</si>
  <si>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</si>
  <si>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</si>
  <si>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</si>
  <si>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</si>
  <si>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</si>
  <si>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</si>
  <si>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</si>
  <si>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</si>
  <si>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</si>
  <si>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</si>
  <si>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</si>
  <si>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</si>
  <si>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</si>
  <si>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</si>
  <si>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</si>
  <si>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</si>
  <si>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</si>
  <si>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</si>
  <si>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</si>
  <si>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</si>
  <si>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</si>
  <si>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</si>
  <si>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</si>
  <si>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</si>
  <si>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</si>
  <si>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</si>
  <si>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</si>
  <si>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</si>
  <si>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</si>
  <si>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</si>
  <si>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</si>
  <si>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</si>
  <si>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</si>
  <si>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</si>
  <si>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</si>
  <si>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</si>
  <si>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</si>
  <si>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</si>
  <si>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</si>
  <si>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</si>
  <si>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</si>
  <si>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</si>
  <si>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</si>
  <si>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</si>
  <si>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</si>
  <si>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</si>
  <si>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</si>
  <si>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</si>
  <si>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</si>
  <si>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</si>
  <si>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</si>
  <si>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</si>
  <si>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</si>
  <si>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</si>
  <si>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</si>
  <si>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</si>
  <si>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</si>
  <si>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</si>
  <si>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</si>
  <si>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</si>
  <si>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</si>
  <si>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</si>
  <si>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</si>
  <si>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</si>
  <si>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</si>
  <si>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</si>
  <si>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</si>
  <si>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</si>
  <si>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</si>
  <si>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</si>
  <si>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</si>
  <si>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</si>
  <si>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</si>
  <si>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</si>
  <si>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</si>
  <si>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</si>
  <si>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</si>
  <si>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</si>
  <si>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</si>
  <si>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</si>
  <si>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</si>
  <si>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</si>
  <si>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</si>
  <si>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</si>
  <si>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</si>
  <si>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</si>
  <si>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</si>
  <si>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</si>
  <si>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</si>
  <si>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</si>
  <si>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</si>
  <si>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</si>
  <si>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</si>
  <si>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</si>
  <si>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</si>
  <si>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</si>
  <si>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</si>
  <si>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</si>
  <si>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</si>
  <si>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</si>
  <si>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</si>
  <si>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</si>
  <si>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</si>
  <si>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</si>
  <si>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</si>
  <si>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</si>
  <si>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</si>
  <si>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</si>
  <si>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</si>
  <si>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</si>
  <si>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</si>
  <si>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</si>
  <si>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</si>
  <si>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</si>
  <si>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</si>
  <si>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</si>
  <si>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</si>
  <si>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</si>
  <si>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</si>
  <si>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</si>
  <si>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</si>
  <si>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</si>
  <si>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</si>
  <si>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</si>
  <si>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</si>
  <si>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</si>
  <si>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</si>
  <si>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</si>
  <si>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</si>
  <si>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</si>
  <si>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</si>
  <si>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</si>
  <si>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</si>
  <si>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</si>
  <si>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</si>
  <si>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</si>
  <si>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</si>
  <si>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</si>
  <si>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</si>
  <si>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</si>
  <si>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</si>
  <si>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</si>
  <si>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</si>
  <si>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</si>
  <si>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</si>
  <si>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</si>
  <si>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</si>
  <si>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</si>
  <si>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</si>
  <si>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</si>
  <si>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</si>
  <si>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</si>
  <si>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</si>
  <si>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</si>
  <si>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</si>
  <si>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</si>
  <si>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</si>
  <si>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</si>
  <si>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</si>
  <si>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</si>
  <si>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</si>
  <si>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</si>
  <si>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</si>
  <si>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</si>
  <si>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</si>
  <si>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</si>
  <si>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</si>
  <si>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</si>
  <si>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</si>
  <si>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</si>
  <si>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</si>
  <si>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</si>
  <si>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</si>
  <si>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</si>
  <si>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</si>
  <si>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</si>
  <si>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</si>
  <si>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</si>
  <si>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</si>
  <si>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</si>
  <si>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</si>
  <si>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</si>
  <si>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</si>
  <si>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</si>
  <si>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</si>
  <si>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</si>
  <si>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</si>
  <si>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</si>
  <si>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</si>
  <si>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</si>
  <si>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</si>
  <si>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</si>
  <si>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</si>
  <si>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</si>
  <si>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</si>
  <si>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</si>
  <si>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</si>
  <si>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</si>
  <si>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</si>
  <si>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</si>
  <si>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</si>
  <si>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</si>
  <si>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</si>
  <si>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</si>
  <si>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</si>
  <si>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</si>
  <si>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</si>
  <si>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</si>
  <si>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</si>
  <si>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</si>
  <si>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</si>
  <si>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</si>
  <si>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</si>
  <si>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</si>
  <si>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</si>
  <si>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</si>
  <si>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</si>
  <si>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</si>
  <si>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</si>
  <si>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</si>
  <si>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</si>
  <si>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</si>
  <si>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</si>
  <si>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</si>
  <si>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</si>
  <si>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</si>
  <si>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</si>
  <si>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</si>
  <si>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</si>
  <si>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</si>
  <si>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</si>
  <si>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</si>
  <si>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</si>
  <si>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</si>
  <si>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</si>
  <si>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</si>
  <si>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</si>
  <si>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</si>
  <si>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</si>
  <si>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</si>
  <si>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</si>
  <si>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</si>
  <si>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</si>
  <si>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</si>
  <si>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</si>
  <si>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</si>
  <si>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</si>
  <si>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</si>
  <si>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</si>
  <si>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</si>
  <si>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</si>
  <si>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</si>
  <si>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</si>
  <si>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</si>
  <si>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</si>
  <si>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</si>
  <si>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</si>
  <si>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</si>
  <si>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</si>
  <si>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</si>
  <si>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</si>
  <si>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</si>
  <si>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</si>
  <si>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</si>
  <si>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</si>
  <si>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</si>
  <si>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</si>
  <si>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</si>
  <si>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</si>
  <si>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</si>
  <si>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</si>
  <si>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</si>
  <si>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</si>
  <si>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</si>
  <si>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</si>
  <si>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</si>
  <si>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</si>
  <si>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</si>
  <si>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</si>
  <si>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</si>
  <si>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</si>
  <si>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</si>
  <si>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</si>
  <si>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</si>
  <si>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</si>
  <si>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</si>
  <si>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</si>
  <si>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</si>
  <si>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</si>
  <si>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</si>
  <si>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</si>
  <si>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</si>
  <si>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</si>
  <si>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</si>
  <si>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</si>
  <si>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</si>
  <si>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</si>
  <si>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</si>
  <si>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</si>
  <si>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</si>
  <si>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</si>
  <si>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</si>
  <si>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</si>
  <si>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</si>
  <si>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</si>
  <si>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</si>
  <si>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</si>
  <si>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</si>
  <si>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</si>
  <si>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</si>
  <si>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</si>
  <si>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</si>
  <si>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</si>
  <si>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</si>
  <si>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</si>
  <si>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</si>
  <si>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</si>
  <si>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</si>
  <si>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</si>
  <si>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</si>
  <si>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</si>
  <si>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</si>
  <si>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</si>
  <si>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</si>
  <si>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</si>
  <si>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</si>
  <si>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</si>
  <si>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</si>
  <si>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</si>
  <si>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</si>
  <si>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</si>
  <si>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</si>
  <si>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</si>
  <si>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</si>
  <si>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</si>
  <si>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</si>
  <si>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</si>
  <si>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</si>
  <si>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</si>
  <si>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</si>
  <si>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</si>
  <si>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</si>
  <si>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</si>
  <si>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</si>
  <si>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</si>
  <si>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</si>
  <si>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</si>
  <si>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</si>
  <si>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</si>
  <si>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</si>
  <si>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</si>
  <si>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</si>
  <si>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</si>
  <si>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</si>
  <si>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</si>
  <si>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</si>
  <si>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</si>
  <si>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</si>
  <si>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</si>
  <si>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</si>
  <si>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</si>
  <si>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</si>
  <si>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</si>
  <si>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</si>
  <si>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</si>
  <si>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</si>
  <si>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</si>
  <si>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</si>
  <si>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</si>
  <si>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</si>
  <si>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</si>
  <si>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</si>
  <si>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</si>
  <si>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</si>
  <si>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</si>
  <si>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</si>
  <si>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</si>
  <si>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</si>
  <si>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</si>
  <si>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</si>
  <si>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</si>
  <si>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</si>
  <si>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</si>
  <si>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</si>
  <si>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</si>
  <si>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</si>
  <si>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</si>
  <si>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</si>
  <si>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</si>
  <si>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</si>
  <si>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</si>
  <si>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</si>
  <si>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</si>
  <si>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</si>
  <si>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</si>
  <si>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</si>
  <si>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</si>
  <si>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</si>
  <si>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</si>
  <si>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</si>
  <si>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</si>
  <si>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</si>
  <si>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</si>
  <si>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</si>
  <si>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</si>
  <si>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</si>
  <si>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</si>
  <si>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</si>
  <si>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</si>
  <si>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</si>
  <si>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</si>
  <si>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</si>
  <si>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</si>
  <si>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</si>
  <si>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</si>
  <si>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</si>
  <si>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</si>
  <si>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</si>
  <si>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</si>
  <si>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</si>
  <si>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</si>
  <si>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</si>
  <si>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</si>
  <si>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</si>
  <si>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</si>
  <si>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</si>
  <si>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</si>
  <si>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</si>
  <si>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</si>
  <si>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</si>
  <si>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</si>
  <si>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</si>
  <si>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</si>
  <si>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</si>
  <si>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</si>
  <si>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</si>
  <si>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</si>
  <si>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</si>
  <si>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</si>
  <si>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</si>
  <si>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</si>
  <si>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</si>
  <si>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</si>
  <si>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</si>
  <si>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</si>
  <si>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</si>
  <si>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</si>
  <si>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</si>
  <si>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</si>
  <si>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</si>
  <si>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</si>
  <si>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</si>
  <si>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</si>
  <si>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</si>
  <si>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</si>
  <si>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</si>
  <si>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</si>
  <si>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</si>
  <si>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</si>
  <si>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</si>
  <si>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</si>
  <si>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</si>
  <si>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</si>
  <si>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</si>
  <si>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</si>
  <si>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</si>
  <si>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</si>
  <si>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</si>
  <si>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</si>
  <si>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</si>
  <si>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</si>
  <si>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</si>
  <si>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</si>
  <si>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</si>
  <si>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</si>
  <si>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</si>
  <si>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</si>
  <si>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</si>
  <si>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</si>
  <si>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</si>
  <si>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</si>
  <si>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</si>
  <si>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</si>
  <si>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</si>
  <si>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</si>
  <si>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</si>
  <si>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</si>
  <si>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</si>
  <si>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</si>
  <si>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</si>
  <si>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</si>
  <si>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</si>
  <si>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</si>
  <si>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</si>
  <si>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</si>
  <si>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</si>
  <si>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</si>
  <si>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</si>
  <si>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</si>
  <si>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</si>
  <si>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</si>
  <si>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</si>
  <si>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</si>
  <si>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</si>
  <si>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</si>
  <si>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</si>
  <si>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</si>
  <si>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</si>
  <si>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</si>
  <si>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</si>
  <si>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</si>
  <si>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</si>
  <si>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</si>
  <si>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</si>
  <si>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</si>
  <si>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</si>
  <si>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</si>
  <si>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</si>
  <si>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</si>
  <si>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</si>
  <si>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</si>
  <si>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</si>
  <si>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</si>
  <si>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</si>
  <si>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</si>
  <si>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</si>
  <si>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</si>
  <si>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</si>
  <si>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</si>
  <si>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</si>
  <si>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</si>
  <si>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</si>
  <si>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</si>
  <si>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</si>
  <si>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</si>
  <si>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</si>
  <si>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</si>
  <si>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</si>
  <si>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</si>
  <si>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</si>
  <si>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</si>
  <si>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</si>
  <si>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</si>
  <si>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</si>
  <si>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</si>
  <si>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</si>
  <si>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</si>
  <si>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</si>
  <si>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</si>
  <si>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</si>
  <si>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</si>
  <si>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</si>
  <si>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</si>
  <si>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</si>
  <si>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</si>
  <si>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</si>
  <si>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</si>
  <si>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</si>
  <si>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</si>
  <si>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</si>
  <si>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</si>
  <si>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</si>
  <si>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</si>
  <si>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</si>
  <si>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</si>
  <si>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</si>
  <si>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</si>
  <si>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</si>
  <si>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</si>
  <si>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</si>
  <si>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</si>
  <si>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</si>
  <si>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</si>
  <si>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</si>
  <si>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</si>
  <si>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</si>
  <si>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</si>
  <si>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</si>
  <si>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</si>
  <si>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</si>
  <si>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</si>
  <si>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</si>
  <si>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</si>
  <si>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</si>
  <si>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</si>
  <si>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</si>
  <si>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</si>
  <si>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</si>
  <si>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</si>
  <si>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</si>
  <si>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</si>
  <si>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</si>
  <si>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</si>
  <si>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</si>
  <si>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</si>
  <si>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</si>
  <si>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</si>
  <si>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</si>
  <si>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</si>
  <si>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</si>
  <si>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</si>
  <si>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</si>
  <si>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</si>
  <si>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</si>
  <si>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</si>
  <si>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</si>
  <si>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</si>
  <si>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</si>
  <si>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</si>
  <si>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</si>
  <si>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</si>
  <si>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</si>
  <si>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</si>
  <si>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</si>
  <si>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</si>
  <si>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</si>
  <si>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</si>
  <si>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</si>
  <si>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</si>
  <si>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</si>
  <si>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</si>
  <si>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</si>
  <si>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</si>
  <si>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</si>
  <si>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</si>
  <si>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</si>
  <si>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</si>
  <si>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</si>
  <si>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</si>
  <si>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</si>
  <si>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</si>
  <si>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</si>
  <si>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</si>
  <si>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</si>
  <si>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</si>
  <si>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</si>
  <si>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</si>
  <si>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</si>
  <si>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</si>
  <si>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</si>
  <si>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</si>
  <si>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</si>
  <si>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</si>
  <si>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</si>
  <si>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</si>
  <si>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</si>
  <si>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</si>
  <si>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</si>
  <si>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</si>
  <si>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</si>
  <si>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</si>
  <si>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</si>
  <si>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</si>
  <si>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</si>
  <si>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</si>
  <si>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</si>
  <si>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</si>
  <si>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</si>
  <si>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</si>
  <si>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</si>
  <si>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</si>
  <si>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</si>
  <si>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</si>
  <si>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</si>
  <si>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</si>
  <si>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</si>
  <si>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</si>
  <si>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</si>
  <si>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</si>
  <si>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</si>
  <si>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</si>
  <si>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</si>
  <si>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</si>
  <si>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</si>
  <si>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</si>
  <si>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</si>
  <si>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</si>
  <si>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</si>
  <si>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</si>
  <si>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</si>
  <si>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</si>
  <si>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</si>
  <si>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</si>
  <si>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</si>
  <si>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</si>
  <si>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</si>
  <si>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</si>
  <si>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</si>
  <si>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</si>
  <si>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</si>
  <si>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</si>
  <si>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</si>
  <si>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</si>
  <si>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</si>
  <si>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</si>
  <si>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</si>
  <si>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</si>
  <si>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</si>
  <si>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</si>
  <si>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</si>
  <si>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</si>
  <si>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</si>
  <si>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</si>
  <si>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</si>
  <si>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</si>
  <si>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</si>
  <si>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</si>
  <si>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</si>
  <si>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</si>
  <si>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</si>
  <si>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</si>
  <si>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</si>
  <si>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</si>
  <si>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</si>
  <si>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</si>
  <si>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</si>
  <si>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</si>
  <si>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</si>
  <si>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</si>
  <si>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</si>
  <si>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</si>
  <si>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</si>
  <si>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</si>
  <si>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</si>
  <si>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</si>
  <si>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</si>
  <si>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</si>
  <si>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</si>
  <si>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</si>
  <si>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</si>
  <si>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</si>
  <si>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</si>
  <si>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</si>
  <si>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</si>
  <si>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</si>
  <si>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</si>
  <si>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</si>
  <si>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</si>
  <si>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</si>
  <si>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</si>
  <si>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</si>
  <si>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</si>
  <si>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</si>
  <si>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</si>
  <si>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</si>
  <si>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</si>
  <si>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</si>
  <si>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</si>
  <si>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</si>
  <si>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</si>
  <si>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</si>
  <si>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</si>
  <si>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</si>
  <si>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</si>
  <si>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</si>
  <si>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</si>
  <si>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</si>
  <si>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</si>
  <si>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</si>
  <si>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</si>
  <si>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</si>
  <si>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</si>
  <si>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</si>
  <si>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</si>
  <si>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</si>
  <si>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</si>
  <si>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</si>
  <si>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</si>
  <si>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</si>
  <si>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</si>
  <si>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</si>
  <si>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</si>
  <si>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</si>
  <si>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</si>
  <si>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</si>
  <si>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</si>
  <si>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</si>
  <si>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</si>
  <si>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</si>
  <si>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</si>
  <si>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</si>
  <si>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</si>
  <si>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</si>
  <si>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</si>
  <si>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</si>
  <si>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</si>
  <si>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</si>
  <si>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</si>
  <si>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</si>
  <si>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</si>
  <si>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</si>
  <si>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</si>
  <si>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</si>
  <si>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</si>
  <si>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</si>
  <si>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</si>
  <si>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</si>
  <si>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</si>
  <si>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</si>
  <si>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</si>
  <si>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</si>
  <si>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</si>
  <si>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</si>
  <si>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</si>
  <si>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</si>
  <si>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</si>
  <si>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</si>
  <si>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</si>
  <si>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</si>
  <si>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</si>
  <si>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</si>
  <si>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</si>
  <si>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</si>
  <si>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</si>
  <si>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</si>
  <si>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</si>
  <si>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</si>
  <si>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</si>
  <si>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</si>
  <si>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</si>
  <si>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</si>
  <si>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</si>
  <si>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</si>
  <si>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</si>
  <si>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</si>
  <si>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</si>
  <si>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</si>
  <si>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</si>
  <si>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</si>
  <si>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</si>
  <si>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</si>
  <si>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</si>
  <si>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</si>
  <si>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</si>
  <si>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</si>
  <si>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</si>
  <si>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</si>
  <si>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</si>
  <si>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</si>
  <si>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</si>
  <si>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</si>
  <si>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</si>
  <si>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</si>
  <si>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</si>
  <si>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</si>
  <si>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</si>
  <si>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</si>
  <si>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</si>
  <si>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</si>
  <si>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</si>
  <si>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</si>
  <si>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</si>
  <si>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</si>
  <si>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</si>
  <si>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</si>
  <si>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</si>
  <si>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</si>
  <si>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</si>
  <si>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</si>
  <si>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</si>
  <si>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</si>
  <si>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</si>
  <si>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</si>
  <si>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</si>
  <si>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</si>
  <si>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</si>
  <si>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</si>
  <si>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</si>
  <si>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</si>
  <si>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</si>
  <si>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</si>
  <si>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</si>
  <si>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</si>
  <si>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</si>
  <si>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</si>
  <si>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</si>
  <si>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</si>
  <si>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</si>
  <si>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</si>
  <si>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</si>
  <si>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</si>
  <si>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</si>
  <si>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</si>
  <si>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</si>
  <si>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</si>
  <si>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</si>
  <si>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</si>
  <si>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</si>
  <si>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</si>
  <si>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</si>
  <si>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</si>
  <si>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</si>
  <si>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</si>
  <si>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</si>
  <si>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</si>
  <si>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</si>
  <si>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</si>
  <si>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</si>
  <si>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</si>
  <si>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</si>
  <si>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</si>
  <si>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</si>
  <si>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</si>
  <si>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</si>
  <si>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</si>
  <si>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</si>
  <si>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</si>
  <si>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</si>
  <si>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</si>
  <si>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</si>
  <si>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</si>
  <si>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</si>
  <si>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</si>
  <si>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</si>
  <si>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</si>
  <si>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</si>
  <si>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</si>
  <si>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</si>
  <si>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</si>
  <si>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</si>
  <si>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</si>
  <si>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</si>
  <si>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</si>
  <si>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</si>
  <si>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</si>
  <si>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</si>
  <si>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</si>
  <si>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</si>
  <si>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</si>
  <si>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</si>
  <si>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</si>
  <si>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</si>
  <si>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</si>
  <si>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</si>
  <si>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</si>
  <si>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</si>
  <si>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</si>
  <si>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</si>
  <si>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</si>
  <si>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</si>
  <si>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</si>
  <si>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</si>
  <si>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</si>
  <si>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</si>
  <si>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</si>
  <si>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</si>
  <si>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</si>
  <si>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</si>
  <si>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</si>
  <si>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</si>
  <si>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</si>
  <si>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</si>
  <si>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</si>
  <si>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</si>
  <si>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</si>
  <si>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</si>
  <si>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</si>
  <si>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</si>
  <si>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</si>
  <si>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</si>
  <si>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</si>
  <si>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</si>
  <si>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</si>
  <si>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</si>
  <si>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</si>
  <si>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</si>
  <si>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</si>
  <si>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</si>
  <si>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</si>
  <si>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</si>
  <si>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</si>
  <si>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</si>
  <si>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</si>
  <si>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</si>
  <si>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</si>
  <si>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</si>
  <si>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</si>
  <si>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</si>
  <si>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</si>
  <si>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</si>
  <si>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</si>
  <si>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</si>
  <si>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</si>
  <si>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</si>
  <si>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</si>
  <si>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</si>
  <si>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</si>
  <si>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</si>
  <si>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</si>
  <si>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</si>
  <si>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</si>
  <si>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</si>
  <si>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</si>
  <si>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</si>
  <si>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</si>
  <si>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</si>
  <si>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</si>
  <si>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</si>
  <si>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</si>
  <si>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</si>
  <si>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</si>
  <si>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</si>
  <si>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</si>
  <si>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</si>
  <si>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</si>
  <si>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</si>
  <si>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</si>
  <si>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</si>
  <si>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</si>
  <si>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</si>
  <si>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</si>
  <si>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</si>
  <si>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</si>
  <si>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</si>
  <si>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</si>
  <si>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</si>
  <si>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</si>
  <si>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</si>
  <si>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</si>
  <si>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</si>
  <si>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</si>
  <si>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</si>
  <si>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</si>
  <si>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</si>
  <si>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</si>
  <si>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</si>
  <si>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</si>
  <si>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</si>
  <si>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</si>
  <si>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</si>
  <si>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</si>
  <si>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</si>
  <si>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</si>
  <si>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</si>
  <si>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</si>
  <si>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</si>
  <si>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</si>
  <si>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</si>
  <si>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</si>
  <si>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</si>
  <si>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</si>
  <si>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</si>
  <si>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</si>
  <si>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</si>
  <si>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</si>
  <si>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</si>
  <si>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</si>
  <si>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</si>
  <si>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</si>
  <si>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</si>
  <si>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</si>
  <si>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</si>
  <si>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</si>
  <si>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</si>
  <si>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</si>
  <si>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</si>
  <si>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</si>
  <si>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</si>
  <si>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</si>
  <si>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</si>
  <si>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</si>
  <si>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</si>
  <si>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</si>
  <si>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</si>
  <si>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</si>
  <si>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</si>
  <si>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</si>
  <si>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</si>
  <si>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</si>
  <si>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</si>
  <si>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</si>
  <si>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</si>
  <si>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</si>
  <si>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</si>
  <si>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</si>
  <si>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</si>
  <si>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</si>
  <si>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</si>
  <si>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</si>
  <si>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</si>
  <si>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</si>
  <si>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</si>
  <si>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</si>
  <si>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</si>
  <si>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</si>
  <si>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</si>
  <si>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</si>
  <si>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</si>
  <si>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</si>
  <si>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</si>
  <si>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</si>
  <si>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</si>
  <si>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</si>
  <si>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</si>
  <si>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</si>
  <si>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</si>
  <si>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</si>
  <si>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</si>
  <si>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</si>
  <si>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</si>
  <si>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</si>
  <si>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</si>
  <si>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</si>
  <si>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</si>
  <si>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</si>
  <si>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</si>
  <si>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</si>
  <si>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</si>
  <si>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</si>
  <si>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</si>
  <si>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</si>
  <si>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</si>
  <si>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</si>
  <si>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</si>
  <si>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</si>
  <si>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</si>
  <si>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</si>
  <si>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</si>
  <si>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</si>
  <si>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</si>
  <si>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</si>
  <si>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</si>
  <si>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</si>
  <si>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</si>
  <si>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</si>
  <si>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</si>
  <si>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</si>
  <si>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</si>
  <si>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</si>
  <si>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</si>
  <si>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</si>
  <si>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</si>
  <si>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</si>
  <si>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</si>
  <si>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</si>
  <si>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</si>
  <si>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</si>
  <si>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</si>
  <si>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</si>
  <si>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</si>
  <si>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</si>
  <si>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</si>
  <si>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</si>
  <si>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</si>
  <si>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</si>
  <si>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</si>
  <si>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</si>
  <si>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</si>
  <si>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</si>
  <si>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</si>
  <si>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</si>
  <si>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</si>
  <si>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</si>
  <si>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</si>
  <si>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</si>
  <si>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</si>
  <si>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</si>
  <si>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</si>
  <si>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</si>
  <si>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</si>
  <si>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</si>
  <si>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</si>
  <si>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</si>
  <si>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</si>
  <si>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</si>
  <si>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</si>
  <si>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</si>
  <si>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</si>
  <si>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</si>
  <si>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</si>
  <si>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</si>
  <si>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</si>
  <si>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</si>
  <si>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</si>
  <si>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</si>
  <si>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</si>
  <si>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</si>
  <si>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</si>
  <si>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</si>
  <si>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</si>
  <si>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</si>
  <si>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</si>
  <si>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</si>
  <si>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</si>
  <si>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</si>
  <si>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</si>
  <si>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</si>
  <si>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</si>
  <si>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</si>
  <si>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</si>
  <si>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</si>
  <si>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</si>
  <si>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</si>
  <si>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</si>
  <si>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</si>
  <si>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</si>
  <si>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</si>
  <si>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</si>
  <si>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</si>
  <si>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</si>
  <si>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</si>
  <si>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</si>
  <si>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</si>
  <si>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</si>
  <si>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</si>
  <si>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</si>
  <si>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</si>
  <si>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</si>
  <si>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</si>
  <si>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</si>
  <si>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</si>
  <si>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</si>
  <si>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</si>
  <si>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</si>
  <si>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</si>
  <si>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</si>
  <si>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</si>
  <si>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</si>
  <si>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</si>
  <si>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</si>
  <si>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</si>
  <si>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</si>
  <si>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</si>
  <si>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</si>
  <si>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</si>
  <si>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</si>
  <si>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</si>
  <si>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</si>
  <si>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</si>
  <si>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</si>
  <si>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</si>
  <si>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</si>
  <si>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</si>
  <si>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</si>
  <si>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</si>
  <si>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</si>
  <si>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</si>
  <si>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</si>
  <si>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</si>
  <si>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</si>
  <si>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</si>
  <si>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</si>
  <si>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</si>
  <si>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</si>
  <si>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</si>
  <si>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</si>
  <si>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</si>
  <si>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</si>
  <si>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</si>
  <si>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</si>
  <si>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</si>
  <si>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</si>
  <si>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</si>
  <si>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</si>
  <si>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</si>
  <si>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</si>
  <si>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</si>
  <si>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</si>
  <si>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</si>
  <si>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</si>
  <si>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</si>
  <si>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</si>
  <si>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</si>
  <si>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</si>
  <si>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</si>
  <si>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</si>
  <si>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</si>
  <si>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</si>
  <si>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</si>
  <si>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</si>
  <si>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</si>
  <si>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</si>
  <si>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</si>
  <si>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</si>
  <si>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</si>
  <si>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</si>
  <si>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</si>
  <si>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</si>
  <si>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</si>
  <si>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</si>
  <si>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</si>
  <si>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</si>
  <si>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</si>
  <si>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</si>
  <si>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</si>
  <si>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</si>
  <si>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</si>
  <si>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</si>
  <si>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</si>
  <si>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</si>
  <si>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</si>
  <si>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</si>
  <si>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</si>
  <si>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</si>
  <si>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</si>
  <si>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</si>
  <si>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</si>
  <si>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</si>
  <si>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</si>
  <si>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</si>
  <si>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</si>
  <si>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</si>
  <si>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</si>
  <si>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</si>
  <si>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</si>
  <si>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</si>
  <si>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</si>
  <si>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</si>
  <si>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</si>
  <si>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</si>
  <si>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</si>
  <si>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</si>
  <si>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</si>
  <si>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</si>
  <si>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</si>
  <si>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</si>
  <si>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</si>
  <si>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</si>
  <si>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</si>
  <si>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</si>
  <si>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</si>
  <si>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</si>
  <si>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</si>
  <si>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</si>
  <si>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</si>
  <si>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</si>
  <si>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</si>
  <si>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</si>
  <si>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668.</t>
  </si>
  <si>
    <t>669.</t>
  </si>
  <si>
    <t>670.</t>
  </si>
  <si>
    <t>671.</t>
  </si>
  <si>
    <t>672.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</si>
  <si>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</si>
  <si>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</si>
  <si>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</si>
  <si>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</si>
  <si>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</si>
  <si>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</si>
  <si>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</si>
  <si>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</si>
  <si>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</si>
  <si>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</si>
  <si>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</si>
  <si>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</si>
  <si>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</si>
  <si>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</si>
  <si>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</si>
  <si>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</si>
  <si>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</si>
  <si>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</si>
  <si>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</si>
  <si>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</si>
  <si>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</si>
  <si>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</si>
  <si>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</si>
  <si>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</si>
  <si>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</si>
  <si>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</si>
  <si>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</si>
  <si>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</si>
  <si>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</si>
  <si>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</si>
  <si>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</si>
  <si>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</si>
  <si>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</si>
  <si>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</si>
  <si>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735.</t>
  </si>
  <si>
    <t>736.</t>
  </si>
  <si>
    <t>737.</t>
  </si>
  <si>
    <t>738.</t>
  </si>
  <si>
    <t>739.</t>
  </si>
  <si>
    <t>740.</t>
  </si>
  <si>
    <t>741.</t>
  </si>
  <si>
    <t>743.</t>
  </si>
  <si>
    <t>744.</t>
  </si>
  <si>
    <t>745.</t>
  </si>
  <si>
    <t>746.</t>
  </si>
  <si>
    <t>747.</t>
  </si>
  <si>
    <t>748.</t>
  </si>
  <si>
    <t>750.</t>
  </si>
  <si>
    <t>751.</t>
  </si>
  <si>
    <t>752.</t>
  </si>
  <si>
    <t>753.</t>
  </si>
  <si>
    <t>754.</t>
  </si>
  <si>
    <t>755.</t>
  </si>
  <si>
    <t>757.</t>
  </si>
  <si>
    <t>758.</t>
  </si>
  <si>
    <t>759.</t>
  </si>
  <si>
    <t>760.</t>
  </si>
  <si>
    <t>761.</t>
  </si>
  <si>
    <t>762.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</si>
  <si>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</si>
  <si>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</si>
  <si>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</si>
  <si>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</si>
  <si>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</si>
  <si>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</si>
  <si>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</si>
  <si>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</si>
  <si>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</si>
  <si>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</si>
  <si>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</si>
  <si>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</si>
  <si>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</si>
  <si>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</si>
  <si>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</si>
  <si>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</si>
  <si>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</si>
  <si>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</si>
  <si>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</si>
  <si>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</si>
  <si>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</si>
  <si>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</si>
  <si>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</si>
  <si>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</si>
  <si>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</si>
  <si>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</si>
  <si>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</si>
  <si>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</si>
  <si>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</si>
  <si>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</si>
  <si>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</si>
  <si>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</si>
  <si>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</si>
  <si>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</si>
  <si>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</si>
  <si>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</si>
  <si>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</si>
  <si>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</si>
  <si>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</si>
  <si>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</si>
  <si>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</si>
  <si>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</si>
  <si>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</si>
  <si>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</si>
  <si>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</si>
  <si>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</si>
  <si>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</si>
  <si>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</si>
  <si>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</si>
  <si>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</si>
  <si>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</si>
  <si>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</si>
  <si>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</si>
  <si>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</si>
  <si>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</si>
  <si>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</si>
  <si>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</si>
  <si>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</si>
  <si>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</si>
  <si>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</si>
  <si>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</si>
  <si>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</si>
  <si>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</si>
  <si>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</si>
  <si>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</si>
  <si>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</si>
  <si>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</si>
  <si>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</si>
  <si>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</si>
  <si>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</si>
  <si>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</si>
  <si>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</si>
  <si>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</si>
  <si>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</si>
  <si>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</si>
  <si>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</si>
  <si>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</si>
  <si>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</si>
  <si>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</si>
  <si>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</si>
  <si>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</si>
  <si>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</si>
  <si>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</si>
  <si>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</si>
  <si>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</si>
  <si>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</si>
  <si>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</si>
  <si>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</si>
  <si>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</si>
  <si>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</si>
  <si>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</si>
  <si>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</si>
  <si>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</si>
  <si>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</si>
  <si>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</si>
  <si>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</si>
  <si>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</si>
  <si>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</si>
  <si>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</si>
  <si>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</si>
  <si>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</si>
  <si>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</si>
  <si>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</si>
  <si>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</si>
  <si>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</si>
  <si>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</si>
  <si>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</si>
  <si>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</si>
  <si>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</si>
  <si>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</si>
  <si>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</si>
  <si>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</si>
  <si>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</si>
  <si>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</si>
  <si>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</si>
  <si>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</si>
  <si>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</si>
  <si>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</si>
  <si>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</si>
  <si>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</si>
  <si>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</si>
  <si>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818.</t>
  </si>
  <si>
    <t>819.</t>
  </si>
  <si>
    <t>Г. Смоленск, ул. Нарвская, д. 15</t>
  </si>
  <si>
    <t>Г. Смоленск, ул. Нахимова, д. 3а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</si>
  <si>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</si>
  <si>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</si>
  <si>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</si>
  <si>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</si>
  <si>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</si>
  <si>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</si>
  <si>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</si>
  <si>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</si>
  <si>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</si>
  <si>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</si>
  <si>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</si>
  <si>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</si>
  <si>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</si>
  <si>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</si>
  <si>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</si>
  <si>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</si>
  <si>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</si>
  <si>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</si>
  <si>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</si>
  <si>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</si>
  <si>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</si>
  <si>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</si>
  <si>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</si>
  <si>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</si>
  <si>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</si>
  <si>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</si>
  <si>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</si>
  <si>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</si>
  <si>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</si>
  <si>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</si>
  <si>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</si>
  <si>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</si>
  <si>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</si>
  <si>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</si>
  <si>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</si>
  <si>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</si>
  <si>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</si>
  <si>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</si>
  <si>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</si>
  <si>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</si>
  <si>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</si>
  <si>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</si>
  <si>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</si>
  <si>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</si>
  <si>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</si>
  <si>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</si>
  <si>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</si>
  <si>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</si>
  <si>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</si>
  <si>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</si>
  <si>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</si>
  <si>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</si>
  <si>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</si>
  <si>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</si>
  <si>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</si>
  <si>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</si>
  <si>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943.</t>
  </si>
  <si>
    <t>944.</t>
  </si>
  <si>
    <t>945.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</si>
  <si>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</si>
  <si>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</si>
  <si>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</si>
  <si>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</si>
  <si>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</si>
  <si>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</si>
  <si>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</si>
  <si>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</si>
  <si>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</si>
  <si>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</si>
  <si>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</si>
  <si>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</si>
  <si>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</si>
  <si>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</si>
  <si>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</si>
  <si>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</si>
  <si>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</si>
  <si>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</si>
  <si>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</si>
  <si>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</si>
  <si>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</si>
  <si>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</si>
  <si>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</si>
  <si>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</si>
  <si>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</si>
  <si>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</si>
  <si>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</si>
  <si>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</si>
  <si>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</si>
  <si>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</si>
  <si>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</si>
  <si>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</si>
  <si>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</si>
  <si>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</si>
  <si>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</si>
  <si>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</si>
  <si>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</si>
  <si>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</si>
  <si>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</si>
  <si>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</si>
  <si>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</si>
  <si>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</si>
  <si>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</si>
  <si>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</si>
  <si>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</si>
  <si>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</si>
  <si>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</si>
  <si>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996.</t>
  </si>
  <si>
    <t>997.</t>
  </si>
  <si>
    <t>998.</t>
  </si>
  <si>
    <t>1000.</t>
  </si>
  <si>
    <t>1001.</t>
  </si>
  <si>
    <t>1002.</t>
  </si>
  <si>
    <t>1003.</t>
  </si>
  <si>
    <t>1004.</t>
  </si>
  <si>
    <t>1005.</t>
  </si>
  <si>
    <t>1006.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</si>
  <si>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</si>
  <si>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</si>
  <si>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</si>
  <si>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</si>
  <si>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</si>
  <si>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</si>
  <si>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</si>
  <si>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</si>
  <si>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</si>
  <si>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</si>
  <si>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</si>
  <si>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</si>
  <si>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</si>
  <si>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</si>
  <si>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</si>
  <si>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</si>
  <si>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</si>
  <si>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</si>
  <si>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</si>
  <si>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</si>
  <si>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</si>
  <si>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</si>
  <si>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Г. Смоленск, ул. Нахимова, д. 1а</t>
  </si>
  <si>
    <t>Г. Починок, мкрн. Ёлки, д. 201</t>
  </si>
  <si>
    <t>Г. Починок, мкрн. Ёлки, д. 202</t>
  </si>
  <si>
    <t>Г. Починок, мкрн. Ёлки, д. 204</t>
  </si>
  <si>
    <t>Г. Смоленск, ул. Черняховского, д. 34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</si>
  <si>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</si>
  <si>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</si>
  <si>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</si>
  <si>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</si>
  <si>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</si>
  <si>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</si>
  <si>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</si>
  <si>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</si>
  <si>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</si>
  <si>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</si>
  <si>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625.</t>
  </si>
  <si>
    <t>626.</t>
  </si>
  <si>
    <t>667.</t>
  </si>
  <si>
    <t>734.</t>
  </si>
  <si>
    <t>742.</t>
  </si>
  <si>
    <t>749.</t>
  </si>
  <si>
    <t>756.</t>
  </si>
  <si>
    <t>763.</t>
  </si>
  <si>
    <t>776.</t>
  </si>
  <si>
    <t>869.</t>
  </si>
  <si>
    <t>903.</t>
  </si>
  <si>
    <t>906.</t>
  </si>
  <si>
    <t>929.</t>
  </si>
  <si>
    <t>942.</t>
  </si>
  <si>
    <t>946.</t>
  </si>
  <si>
    <t>962.</t>
  </si>
  <si>
    <t>995.</t>
  </si>
  <si>
    <t>1007.</t>
  </si>
  <si>
    <t>Г. Рославль, ул. Пролетарская, д. 46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</si>
  <si>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</si>
  <si>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</si>
  <si>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</si>
  <si>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</si>
  <si>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</si>
  <si>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</si>
  <si>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</si>
  <si>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</si>
  <si>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</si>
  <si>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</si>
  <si>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</si>
  <si>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</si>
  <si>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</si>
  <si>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</si>
  <si>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</si>
  <si>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</si>
  <si>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</si>
  <si>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</si>
  <si>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</si>
  <si>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</si>
  <si>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</si>
  <si>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</si>
  <si>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</si>
  <si>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</si>
  <si>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</si>
  <si>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</si>
  <si>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</si>
  <si>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999</t>
  </si>
  <si>
    <t>1030.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</si>
</sst>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1" xfId="12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86"/>
  <sheetViews>
    <sheetView tabSelected="1" view="pageBreakPreview" topLeftCell="A785" zoomScale="50" zoomScaleNormal="50" zoomScaleSheetLayoutView="50" zoomScalePageLayoutView="40" workbookViewId="0">
      <selection activeCell="J796" sqref="J796"/>
    </sheetView>
  </sheetViews>
  <sheetFormatPr defaultColWidth="9.109375" defaultRowHeight="15.6" x14ac:dyDescent="0.3"/>
  <cols>
    <col min="1" max="1" width="6.44140625" style="76" customWidth="1"/>
    <col min="2" max="2" width="54.6640625" style="77" customWidth="1"/>
    <col min="3" max="3" width="19.88671875" style="78" customWidth="1"/>
    <col min="4" max="4" width="19" style="78" customWidth="1"/>
    <col min="5" max="5" width="19.6640625" style="78" customWidth="1"/>
    <col min="6" max="10" width="17" style="78" customWidth="1"/>
    <col min="11" max="11" width="6.88671875" style="79" customWidth="1"/>
    <col min="12" max="12" width="16.44140625" style="78" customWidth="1"/>
    <col min="13" max="13" width="13.6640625" style="78" customWidth="1"/>
    <col min="14" max="14" width="19" style="78" customWidth="1"/>
    <col min="15" max="15" width="10.5546875" style="78" customWidth="1"/>
    <col min="16" max="16" width="16.44140625" style="78" customWidth="1"/>
    <col min="17" max="17" width="12.6640625" style="78" customWidth="1"/>
    <col min="18" max="18" width="18.44140625" style="78" customWidth="1"/>
    <col min="19" max="19" width="15.6640625" style="78" customWidth="1"/>
    <col min="20" max="20" width="18.44140625" style="78" customWidth="1"/>
    <col min="21" max="21" width="16.5546875" style="78" customWidth="1"/>
    <col min="22" max="22" width="29.44140625" style="6" customWidth="1"/>
    <col min="23" max="23" width="9.109375" style="7"/>
    <col min="24" max="24" width="18.88671875" style="7" bestFit="1" customWidth="1"/>
    <col min="25" max="16384" width="9.109375" style="7"/>
  </cols>
  <sheetData>
    <row r="1" spans="1:24" ht="19.5" customHeight="1" x14ac:dyDescent="0.3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4" ht="19.5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9"/>
      <c r="M2" s="9"/>
      <c r="N2" s="9"/>
      <c r="O2" s="11"/>
      <c r="P2" s="11"/>
      <c r="Q2" s="11"/>
      <c r="R2" s="11"/>
      <c r="S2" s="11"/>
      <c r="T2" s="11"/>
      <c r="U2" s="11"/>
    </row>
    <row r="3" spans="1:24" ht="192" customHeight="1" x14ac:dyDescent="0.3">
      <c r="A3" s="12" t="s">
        <v>16</v>
      </c>
      <c r="B3" s="13" t="s">
        <v>15</v>
      </c>
      <c r="C3" s="14" t="s">
        <v>13</v>
      </c>
      <c r="D3" s="15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12</v>
      </c>
      <c r="U3" s="17"/>
    </row>
    <row r="4" spans="1:24" ht="31.5" customHeight="1" x14ac:dyDescent="0.3">
      <c r="A4" s="18"/>
      <c r="B4" s="13"/>
      <c r="C4" s="19"/>
      <c r="D4" s="20" t="s">
        <v>899</v>
      </c>
      <c r="E4" s="21"/>
      <c r="F4" s="21"/>
      <c r="G4" s="21"/>
      <c r="H4" s="21"/>
      <c r="I4" s="21"/>
      <c r="J4" s="22"/>
      <c r="K4" s="23" t="s">
        <v>893</v>
      </c>
      <c r="L4" s="24"/>
      <c r="M4" s="23" t="s">
        <v>8</v>
      </c>
      <c r="N4" s="24"/>
      <c r="O4" s="23" t="s">
        <v>6</v>
      </c>
      <c r="P4" s="24"/>
      <c r="Q4" s="23" t="s">
        <v>9</v>
      </c>
      <c r="R4" s="24"/>
      <c r="S4" s="14" t="s">
        <v>14</v>
      </c>
      <c r="T4" s="25" t="s">
        <v>5</v>
      </c>
      <c r="U4" s="15" t="s">
        <v>3</v>
      </c>
    </row>
    <row r="5" spans="1:24" ht="190.5" customHeight="1" x14ac:dyDescent="0.3">
      <c r="A5" s="18"/>
      <c r="B5" s="13"/>
      <c r="C5" s="26"/>
      <c r="D5" s="27" t="s">
        <v>898</v>
      </c>
      <c r="E5" s="28" t="s">
        <v>921</v>
      </c>
      <c r="F5" s="28" t="s">
        <v>922</v>
      </c>
      <c r="G5" s="28" t="s">
        <v>894</v>
      </c>
      <c r="H5" s="28" t="s">
        <v>895</v>
      </c>
      <c r="I5" s="28" t="s">
        <v>896</v>
      </c>
      <c r="J5" s="28" t="s">
        <v>897</v>
      </c>
      <c r="K5" s="29"/>
      <c r="L5" s="30"/>
      <c r="M5" s="29"/>
      <c r="N5" s="30"/>
      <c r="O5" s="29"/>
      <c r="P5" s="30"/>
      <c r="Q5" s="29"/>
      <c r="R5" s="30"/>
      <c r="S5" s="26"/>
      <c r="T5" s="25"/>
      <c r="U5" s="15"/>
    </row>
    <row r="6" spans="1:24" ht="18" customHeight="1" x14ac:dyDescent="0.3">
      <c r="A6" s="31"/>
      <c r="B6" s="13"/>
      <c r="C6" s="32" t="s">
        <v>7</v>
      </c>
      <c r="D6" s="32" t="s">
        <v>7</v>
      </c>
      <c r="E6" s="32" t="s">
        <v>7</v>
      </c>
      <c r="F6" s="32" t="s">
        <v>7</v>
      </c>
      <c r="G6" s="32" t="s">
        <v>7</v>
      </c>
      <c r="H6" s="32" t="s">
        <v>7</v>
      </c>
      <c r="I6" s="32" t="s">
        <v>7</v>
      </c>
      <c r="J6" s="32" t="s">
        <v>7</v>
      </c>
      <c r="K6" s="33" t="s">
        <v>10</v>
      </c>
      <c r="L6" s="32" t="s">
        <v>7</v>
      </c>
      <c r="M6" s="32" t="s">
        <v>18</v>
      </c>
      <c r="N6" s="32" t="s">
        <v>7</v>
      </c>
      <c r="O6" s="32" t="s">
        <v>18</v>
      </c>
      <c r="P6" s="32" t="s">
        <v>7</v>
      </c>
      <c r="Q6" s="32" t="s">
        <v>18</v>
      </c>
      <c r="R6" s="32" t="s">
        <v>7</v>
      </c>
      <c r="S6" s="32" t="s">
        <v>7</v>
      </c>
      <c r="T6" s="32" t="s">
        <v>7</v>
      </c>
      <c r="U6" s="32" t="s">
        <v>7</v>
      </c>
    </row>
    <row r="7" spans="1:24" s="36" customFormat="1" ht="15" customHeight="1" x14ac:dyDescent="0.3">
      <c r="A7" s="34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5"/>
    </row>
    <row r="8" spans="1:24" ht="25.95" customHeight="1" x14ac:dyDescent="0.3">
      <c r="A8" s="37" t="s">
        <v>26</v>
      </c>
      <c r="B8" s="37"/>
      <c r="C8" s="2">
        <f t="shared" ref="C8:U8" si="0">C10+C285+C677</f>
        <v>4194340136.3599992</v>
      </c>
      <c r="D8" s="2">
        <f t="shared" si="0"/>
        <v>905917147.4799999</v>
      </c>
      <c r="E8" s="2">
        <f t="shared" si="0"/>
        <v>206562418.50999999</v>
      </c>
      <c r="F8" s="2">
        <f t="shared" si="0"/>
        <v>439084719.33999997</v>
      </c>
      <c r="G8" s="2">
        <f t="shared" si="0"/>
        <v>89745755.789999992</v>
      </c>
      <c r="H8" s="2">
        <f t="shared" si="0"/>
        <v>80192160.920000002</v>
      </c>
      <c r="I8" s="2">
        <f t="shared" si="0"/>
        <v>90332092.920000002</v>
      </c>
      <c r="J8" s="2">
        <f t="shared" si="0"/>
        <v>0</v>
      </c>
      <c r="K8" s="38">
        <f t="shared" si="0"/>
        <v>49</v>
      </c>
      <c r="L8" s="2">
        <f t="shared" si="0"/>
        <v>95897974.480000004</v>
      </c>
      <c r="M8" s="2">
        <f t="shared" si="0"/>
        <v>406973.08</v>
      </c>
      <c r="N8" s="2">
        <f t="shared" si="0"/>
        <v>2220994645.9799995</v>
      </c>
      <c r="O8" s="2">
        <f t="shared" si="0"/>
        <v>7630.1100000000006</v>
      </c>
      <c r="P8" s="2">
        <f t="shared" si="0"/>
        <v>8171390.6799999997</v>
      </c>
      <c r="Q8" s="2">
        <f t="shared" si="0"/>
        <v>302205.54999999993</v>
      </c>
      <c r="R8" s="2">
        <f t="shared" si="0"/>
        <v>861211405.04999995</v>
      </c>
      <c r="S8" s="2">
        <f t="shared" si="0"/>
        <v>5001092.18</v>
      </c>
      <c r="T8" s="2">
        <f t="shared" si="0"/>
        <v>678303.6</v>
      </c>
      <c r="U8" s="2">
        <f t="shared" si="0"/>
        <v>96468176.909999996</v>
      </c>
      <c r="X8" s="39"/>
    </row>
    <row r="9" spans="1:24" s="42" customFormat="1" ht="24.9" customHeight="1" x14ac:dyDescent="0.3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1"/>
    </row>
    <row r="10" spans="1:24" ht="24.9" customHeight="1" x14ac:dyDescent="0.3">
      <c r="A10" s="43" t="s">
        <v>195</v>
      </c>
      <c r="B10" s="43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38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44">
        <f>D10+L10+N10+P10+R10+S10+T10+U10</f>
        <v>634485512.4000001</v>
      </c>
    </row>
    <row r="11" spans="1:24" ht="40.049999999999997" customHeight="1" x14ac:dyDescent="0.3">
      <c r="A11" s="45" t="s">
        <v>0</v>
      </c>
      <c r="B11" s="45"/>
      <c r="C11" s="2">
        <f t="shared" ref="C11:U11" si="2">SUM(C12:C23)</f>
        <v>37755868.190000005</v>
      </c>
      <c r="D11" s="2">
        <f t="shared" si="2"/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38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44">
        <f>C11+C289+C683</f>
        <v>341833877.30999994</v>
      </c>
    </row>
    <row r="12" spans="1:24" ht="25.05" customHeight="1" x14ac:dyDescent="0.3">
      <c r="A12" s="46" t="s">
        <v>797</v>
      </c>
      <c r="B12" s="47" t="s">
        <v>39</v>
      </c>
      <c r="C12" s="2">
        <f t="shared" ref="C12:C23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48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4" ht="25.05" customHeight="1" x14ac:dyDescent="0.3">
      <c r="A13" s="46" t="s">
        <v>798</v>
      </c>
      <c r="B13" s="47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48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44">
        <f t="shared" si="4"/>
        <v>5037.8496528609048</v>
      </c>
    </row>
    <row r="14" spans="1:24" ht="25.05" customHeight="1" x14ac:dyDescent="0.3">
      <c r="A14" s="46" t="s">
        <v>933</v>
      </c>
      <c r="B14" s="49" t="s">
        <v>43</v>
      </c>
      <c r="C14" s="2">
        <f t="shared" si="3"/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48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 t="shared" si="4"/>
        <v>5025.4322535701849</v>
      </c>
    </row>
    <row r="15" spans="1:24" ht="25.05" customHeight="1" x14ac:dyDescent="0.3">
      <c r="A15" s="46" t="s">
        <v>934</v>
      </c>
      <c r="B15" s="49" t="s">
        <v>44</v>
      </c>
      <c r="C15" s="2">
        <f t="shared" si="3"/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48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 t="shared" si="4"/>
        <v>#DIV/0!</v>
      </c>
    </row>
    <row r="16" spans="1:24" ht="25.05" customHeight="1" x14ac:dyDescent="0.3">
      <c r="A16" s="46" t="s">
        <v>935</v>
      </c>
      <c r="B16" s="49" t="s">
        <v>45</v>
      </c>
      <c r="C16" s="2">
        <f t="shared" si="3"/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48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 t="shared" si="4"/>
        <v>5299.7964480582004</v>
      </c>
    </row>
    <row r="17" spans="1:22" ht="25.05" customHeight="1" x14ac:dyDescent="0.3">
      <c r="A17" s="46" t="s">
        <v>936</v>
      </c>
      <c r="B17" s="49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48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5.05" customHeight="1" x14ac:dyDescent="0.3">
      <c r="A18" s="46" t="s">
        <v>937</v>
      </c>
      <c r="B18" s="49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48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5.05" customHeight="1" x14ac:dyDescent="0.3">
      <c r="A19" s="46" t="s">
        <v>938</v>
      </c>
      <c r="B19" s="49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48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5.05" customHeight="1" x14ac:dyDescent="0.3">
      <c r="A20" s="46" t="s">
        <v>939</v>
      </c>
      <c r="B20" s="49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48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5.05" customHeight="1" x14ac:dyDescent="0.3">
      <c r="A21" s="46" t="s">
        <v>940</v>
      </c>
      <c r="B21" s="47" t="s">
        <v>56</v>
      </c>
      <c r="C21" s="2">
        <f t="shared" si="3"/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48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 t="shared" si="4"/>
        <v>4410.6899999999996</v>
      </c>
    </row>
    <row r="22" spans="1:22" ht="25.05" customHeight="1" x14ac:dyDescent="0.3">
      <c r="A22" s="46" t="s">
        <v>941</v>
      </c>
      <c r="B22" s="47" t="s">
        <v>57</v>
      </c>
      <c r="C22" s="2">
        <f t="shared" si="3"/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48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 t="shared" si="4"/>
        <v>4765.7115835777131</v>
      </c>
    </row>
    <row r="23" spans="1:22" ht="25.05" customHeight="1" x14ac:dyDescent="0.3">
      <c r="A23" s="46" t="s">
        <v>942</v>
      </c>
      <c r="B23" s="47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48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0.049999999999997" customHeight="1" x14ac:dyDescent="0.3">
      <c r="A24" s="45" t="s">
        <v>801</v>
      </c>
      <c r="B24" s="45"/>
      <c r="C24" s="2">
        <f t="shared" ref="C24:U24" si="5">SUM(C25)</f>
        <v>2310609.41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38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44">
        <f>C24</f>
        <v>2310609.41</v>
      </c>
    </row>
    <row r="25" spans="1:22" ht="25.05" customHeight="1" x14ac:dyDescent="0.3">
      <c r="A25" s="46" t="s">
        <v>943</v>
      </c>
      <c r="B25" s="49" t="s">
        <v>27</v>
      </c>
      <c r="C25" s="2">
        <f>D25+L25+N25+P25+R25+S25+T25+U25</f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48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0.049999999999997" customHeight="1" x14ac:dyDescent="0.3">
      <c r="A26" s="45" t="s">
        <v>829</v>
      </c>
      <c r="B26" s="45"/>
      <c r="C26" s="2">
        <f t="shared" ref="C26:U26" si="6">SUM(C27)</f>
        <v>3798369.6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38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44">
        <f>C26</f>
        <v>3798369.6</v>
      </c>
    </row>
    <row r="27" spans="1:22" ht="25.2" customHeight="1" x14ac:dyDescent="0.3">
      <c r="A27" s="46" t="s">
        <v>944</v>
      </c>
      <c r="B27" s="49" t="s">
        <v>830</v>
      </c>
      <c r="C27" s="2">
        <f>D27+L27+N27+P27+R27+S27+T27+U27</f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48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0.049999999999997" customHeight="1" x14ac:dyDescent="0.3">
      <c r="A28" s="45" t="s">
        <v>73</v>
      </c>
      <c r="B28" s="45"/>
      <c r="C28" s="2">
        <f t="shared" ref="C28:U28" si="7">SUM(C29)</f>
        <v>1334845.79</v>
      </c>
      <c r="D28" s="2">
        <f t="shared" si="7"/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38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44">
        <f>C28+C311+C715</f>
        <v>25715299.25</v>
      </c>
    </row>
    <row r="29" spans="1:22" ht="25.2" customHeight="1" x14ac:dyDescent="0.3">
      <c r="A29" s="34" t="s">
        <v>945</v>
      </c>
      <c r="B29" s="49" t="s">
        <v>72</v>
      </c>
      <c r="C29" s="2">
        <f>D29+L29+N29+P29+R29+S29+T29+U29</f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33">
        <v>0</v>
      </c>
      <c r="L29" s="32">
        <v>0</v>
      </c>
      <c r="M29" s="32">
        <v>254.8</v>
      </c>
      <c r="N29" s="48">
        <v>1159135.44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77267.520000000004</v>
      </c>
      <c r="V29" s="6">
        <f>N29/M29</f>
        <v>4549.1971742543165</v>
      </c>
    </row>
    <row r="30" spans="1:22" ht="40.049999999999997" customHeight="1" x14ac:dyDescent="0.3">
      <c r="A30" s="45" t="s">
        <v>2</v>
      </c>
      <c r="B30" s="45"/>
      <c r="C30" s="2">
        <f t="shared" ref="C30:U30" si="8">SUM(C31:C32)</f>
        <v>1938064.1099999999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38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44">
        <f>C30+C315+C721</f>
        <v>18863062.550000001</v>
      </c>
    </row>
    <row r="31" spans="1:22" ht="25.2" customHeight="1" x14ac:dyDescent="0.3">
      <c r="A31" s="46" t="s">
        <v>946</v>
      </c>
      <c r="B31" s="49" t="s">
        <v>76</v>
      </c>
      <c r="C31" s="2">
        <f>D31+L31+N31+P31+R31+S31+T31+U31</f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32">
        <v>0</v>
      </c>
      <c r="N31" s="32">
        <v>0</v>
      </c>
      <c r="O31" s="3">
        <v>0</v>
      </c>
      <c r="P31" s="3">
        <v>0</v>
      </c>
      <c r="Q31" s="3">
        <v>0</v>
      </c>
      <c r="R31" s="3">
        <v>0</v>
      </c>
      <c r="S31" s="32">
        <v>0</v>
      </c>
      <c r="T31" s="3">
        <v>0</v>
      </c>
      <c r="U31" s="3">
        <v>53254.81</v>
      </c>
      <c r="V31" s="6" t="e">
        <f>N31/M31</f>
        <v>#DIV/0!</v>
      </c>
    </row>
    <row r="32" spans="1:22" s="6" customFormat="1" ht="25.2" customHeight="1" x14ac:dyDescent="0.3">
      <c r="A32" s="46" t="s">
        <v>947</v>
      </c>
      <c r="B32" s="49" t="s">
        <v>77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3">
        <v>0</v>
      </c>
      <c r="L32" s="32">
        <v>0</v>
      </c>
      <c r="M32" s="32">
        <v>496</v>
      </c>
      <c r="N32" s="32">
        <v>1830260.64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">
        <v>0</v>
      </c>
      <c r="U32" s="32">
        <v>54548.66</v>
      </c>
      <c r="V32" s="6">
        <f>N32/M32</f>
        <v>3690.0416129032255</v>
      </c>
    </row>
    <row r="33" spans="1:22" ht="40.049999999999997" customHeight="1" x14ac:dyDescent="0.3">
      <c r="A33" s="45" t="s">
        <v>792</v>
      </c>
      <c r="B33" s="45"/>
      <c r="C33" s="2">
        <f t="shared" ref="C33:U33" si="9">SUM(C34)</f>
        <v>239642.18</v>
      </c>
      <c r="D33" s="2">
        <f t="shared" si="9"/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38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44">
        <f>C33+C320+C727</f>
        <v>23509547.469999999</v>
      </c>
    </row>
    <row r="34" spans="1:22" ht="25.2" customHeight="1" x14ac:dyDescent="0.3">
      <c r="A34" s="46" t="s">
        <v>948</v>
      </c>
      <c r="B34" s="49" t="s">
        <v>84</v>
      </c>
      <c r="C34" s="2">
        <f>D34+L34+N34+P34+R34+S34+T34+U34</f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48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>N34/M34</f>
        <v>2348.1979999999999</v>
      </c>
    </row>
    <row r="35" spans="1:22" ht="45" customHeight="1" x14ac:dyDescent="0.3">
      <c r="A35" s="45" t="s">
        <v>90</v>
      </c>
      <c r="B35" s="45"/>
      <c r="C35" s="2">
        <f t="shared" ref="C35:U35" si="10">SUM(C36:C37)</f>
        <v>6845927.2100000009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38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44">
        <f>C35+C323+C737</f>
        <v>27872830.360000003</v>
      </c>
    </row>
    <row r="36" spans="1:22" ht="25.2" customHeight="1" x14ac:dyDescent="0.3">
      <c r="A36" s="34" t="s">
        <v>949</v>
      </c>
      <c r="B36" s="49" t="s">
        <v>93</v>
      </c>
      <c r="C36" s="2">
        <f>D36+L36+N36+P36+R36+S36+T36+U36</f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32">
        <v>0</v>
      </c>
      <c r="N36" s="32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>N36/M36</f>
        <v>#DIV/0!</v>
      </c>
    </row>
    <row r="37" spans="1:22" ht="25.2" customHeight="1" x14ac:dyDescent="0.3">
      <c r="A37" s="34" t="s">
        <v>950</v>
      </c>
      <c r="B37" s="49" t="s">
        <v>96</v>
      </c>
      <c r="C37" s="2">
        <f>D37+L37+N37+P37+R37+S37+T37+U37</f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32">
        <v>0</v>
      </c>
      <c r="N37" s="32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>N37/M37</f>
        <v>#DIV/0!</v>
      </c>
    </row>
    <row r="38" spans="1:22" ht="45" customHeight="1" x14ac:dyDescent="0.3">
      <c r="A38" s="45" t="s">
        <v>99</v>
      </c>
      <c r="B38" s="45"/>
      <c r="C38" s="2">
        <f t="shared" ref="C38:U38" si="11">SUM(C39:C42)</f>
        <v>14891706.060000001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38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44">
        <f>C38+C328+C741</f>
        <v>58147939.490000002</v>
      </c>
    </row>
    <row r="39" spans="1:22" ht="25.2" customHeight="1" x14ac:dyDescent="0.3">
      <c r="A39" s="46" t="s">
        <v>951</v>
      </c>
      <c r="B39" s="49" t="s">
        <v>105</v>
      </c>
      <c r="C39" s="2">
        <f>D39+L39+N39+P39+R39+S39+T39+U39</f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32">
        <v>828.4</v>
      </c>
      <c r="N39" s="32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>N39/M39</f>
        <v>5507.4843070980205</v>
      </c>
    </row>
    <row r="40" spans="1:22" ht="25.2" customHeight="1" x14ac:dyDescent="0.3">
      <c r="A40" s="46" t="s">
        <v>952</v>
      </c>
      <c r="B40" s="49" t="s">
        <v>107</v>
      </c>
      <c r="C40" s="2">
        <f>D40+L40+N40+P40+R40+S40+T40+U40</f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32">
        <v>775.81</v>
      </c>
      <c r="N40" s="48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>N40/M40</f>
        <v>4703.4990654928397</v>
      </c>
    </row>
    <row r="41" spans="1:22" ht="25.2" customHeight="1" x14ac:dyDescent="0.3">
      <c r="A41" s="46" t="s">
        <v>953</v>
      </c>
      <c r="B41" s="49" t="s">
        <v>108</v>
      </c>
      <c r="C41" s="2">
        <f>D41+L41+N41+P41+R41+S41+T41+U41</f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32">
        <v>821.23</v>
      </c>
      <c r="N41" s="48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>N41/M41</f>
        <v>4386.8403005248219</v>
      </c>
    </row>
    <row r="42" spans="1:22" ht="25.2" customHeight="1" x14ac:dyDescent="0.3">
      <c r="A42" s="46" t="s">
        <v>954</v>
      </c>
      <c r="B42" s="49" t="s">
        <v>109</v>
      </c>
      <c r="C42" s="2">
        <f>D42+L42+N42+P42+R42+S42+T42+U42</f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48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>N42/M42</f>
        <v>4677.7081168249424</v>
      </c>
    </row>
    <row r="43" spans="1:22" ht="45" customHeight="1" x14ac:dyDescent="0.3">
      <c r="A43" s="45" t="s">
        <v>884</v>
      </c>
      <c r="B43" s="45"/>
      <c r="C43" s="2">
        <f t="shared" ref="C43:U43" si="12">SUM(C44)</f>
        <v>2818731.24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38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44">
        <f>C43</f>
        <v>2818731.24</v>
      </c>
    </row>
    <row r="44" spans="1:22" ht="25.2" customHeight="1" x14ac:dyDescent="0.3">
      <c r="A44" s="34" t="s">
        <v>955</v>
      </c>
      <c r="B44" s="49" t="s">
        <v>885</v>
      </c>
      <c r="C44" s="2">
        <f>D44+L44+N44+P44+R44+S44+T44+U44</f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3">
        <v>0</v>
      </c>
      <c r="L44" s="32">
        <v>0</v>
      </c>
      <c r="M44" s="32">
        <v>585.66</v>
      </c>
      <c r="N44" s="32">
        <v>2818731.24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6">
        <f>N44/M44</f>
        <v>4812.9140456920404</v>
      </c>
    </row>
    <row r="45" spans="1:22" ht="45" customHeight="1" x14ac:dyDescent="0.3">
      <c r="A45" s="45" t="s">
        <v>121</v>
      </c>
      <c r="B45" s="45"/>
      <c r="C45" s="2">
        <f t="shared" ref="C45:U45" si="13">SUM(C46)</f>
        <v>3111460.64</v>
      </c>
      <c r="D45" s="2">
        <f t="shared" si="13"/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38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44">
        <f>C45+C338+C756</f>
        <v>17442945.98</v>
      </c>
    </row>
    <row r="46" spans="1:22" ht="25.2" customHeight="1" x14ac:dyDescent="0.3">
      <c r="A46" s="34" t="s">
        <v>956</v>
      </c>
      <c r="B46" s="49" t="s">
        <v>824</v>
      </c>
      <c r="C46" s="2">
        <f>D46+L46+N46+P46+R46+S46+T46+U46</f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3">
        <v>0</v>
      </c>
      <c r="L46" s="32">
        <v>0</v>
      </c>
      <c r="M46" s="32">
        <v>550</v>
      </c>
      <c r="N46" s="32">
        <v>1812377.05</v>
      </c>
      <c r="O46" s="32">
        <v>0</v>
      </c>
      <c r="P46" s="32">
        <v>0</v>
      </c>
      <c r="Q46" s="32">
        <v>600</v>
      </c>
      <c r="R46" s="32">
        <v>1248132.32</v>
      </c>
      <c r="S46" s="32">
        <v>0</v>
      </c>
      <c r="T46" s="32">
        <v>0</v>
      </c>
      <c r="U46" s="32">
        <v>50951.27</v>
      </c>
      <c r="V46" s="6">
        <f>N46/M46</f>
        <v>3295.2310000000002</v>
      </c>
    </row>
    <row r="47" spans="1:22" ht="45" customHeight="1" x14ac:dyDescent="0.3">
      <c r="A47" s="45" t="s">
        <v>127</v>
      </c>
      <c r="B47" s="45"/>
      <c r="C47" s="2">
        <f t="shared" ref="C47:U47" si="14">SUM(C48)</f>
        <v>43691.17</v>
      </c>
      <c r="D47" s="2">
        <f t="shared" si="14"/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38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44">
        <f>C47+C343</f>
        <v>6400053.5300000003</v>
      </c>
    </row>
    <row r="48" spans="1:22" ht="25.2" customHeight="1" x14ac:dyDescent="0.3">
      <c r="A48" s="46" t="s">
        <v>957</v>
      </c>
      <c r="B48" s="49" t="s">
        <v>125</v>
      </c>
      <c r="C48" s="2">
        <f>D48+L48+N48+P48+R48+S48+T48+U48</f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2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3">
      <c r="A49" s="45" t="s">
        <v>129</v>
      </c>
      <c r="B49" s="45"/>
      <c r="C49" s="2">
        <f t="shared" ref="C49:U49" si="15">SUM(C50:C52)</f>
        <v>16217698.190000001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38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44">
        <f>C49+C348</f>
        <v>19589472.590000004</v>
      </c>
    </row>
    <row r="50" spans="1:22" ht="25.2" customHeight="1" x14ac:dyDescent="0.3">
      <c r="A50" s="46" t="s">
        <v>958</v>
      </c>
      <c r="B50" s="49" t="s">
        <v>130</v>
      </c>
      <c r="C50" s="2">
        <f>D50+L50+N50+P50+R50+S50+T50+U50</f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32">
        <v>0</v>
      </c>
      <c r="S50" s="3">
        <v>0</v>
      </c>
      <c r="T50" s="3">
        <v>0</v>
      </c>
      <c r="U50" s="3">
        <v>59673.34</v>
      </c>
      <c r="V50" s="6">
        <f>N50/M50</f>
        <v>3139.2932110670827</v>
      </c>
    </row>
    <row r="51" spans="1:22" ht="25.2" customHeight="1" x14ac:dyDescent="0.3">
      <c r="A51" s="46" t="s">
        <v>959</v>
      </c>
      <c r="B51" s="49" t="s">
        <v>131</v>
      </c>
      <c r="C51" s="2">
        <f>D51+L51+N51+P51+R51+S51+T51+U51</f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32">
        <v>0</v>
      </c>
      <c r="S51" s="3">
        <v>0</v>
      </c>
      <c r="T51" s="3">
        <v>0</v>
      </c>
      <c r="U51" s="3">
        <v>60269.14</v>
      </c>
      <c r="V51" s="6">
        <f>N51/M51</f>
        <v>3036.5339801332671</v>
      </c>
    </row>
    <row r="52" spans="1:22" ht="25.2" customHeight="1" x14ac:dyDescent="0.3">
      <c r="A52" s="46" t="s">
        <v>960</v>
      </c>
      <c r="B52" s="49" t="s">
        <v>132</v>
      </c>
      <c r="C52" s="2">
        <f>D52+L52+N52+P52+R52+S52+T52+U52</f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32">
        <v>6223562.8200000003</v>
      </c>
      <c r="S52" s="3">
        <v>0</v>
      </c>
      <c r="T52" s="3">
        <v>0</v>
      </c>
      <c r="U52" s="3">
        <v>164589.66</v>
      </c>
      <c r="V52" s="6">
        <f>N52/M52</f>
        <v>2302.5015550465464</v>
      </c>
    </row>
    <row r="53" spans="1:22" ht="45" customHeight="1" x14ac:dyDescent="0.3">
      <c r="A53" s="45" t="s">
        <v>807</v>
      </c>
      <c r="B53" s="45"/>
      <c r="C53" s="2">
        <f t="shared" ref="C53:U53" si="16">SUM(C54)</f>
        <v>1199702.6400000001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38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44">
        <f>C53</f>
        <v>1199702.6400000001</v>
      </c>
    </row>
    <row r="54" spans="1:22" ht="25.2" customHeight="1" x14ac:dyDescent="0.3">
      <c r="A54" s="46" t="s">
        <v>961</v>
      </c>
      <c r="B54" s="49" t="s">
        <v>808</v>
      </c>
      <c r="C54" s="2">
        <f>D54+L54+N54+P54+R54+S54+T54+U54</f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32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3">
      <c r="A55" s="50" t="s">
        <v>128</v>
      </c>
      <c r="B55" s="51"/>
      <c r="C55" s="2">
        <f t="shared" ref="C55:U55" si="17">SUM(C56)</f>
        <v>1474519.93</v>
      </c>
      <c r="D55" s="2">
        <f t="shared" si="17"/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38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44" t="e">
        <f>C55+#REF!</f>
        <v>#REF!</v>
      </c>
    </row>
    <row r="56" spans="1:22" ht="25.2" customHeight="1" x14ac:dyDescent="0.3">
      <c r="A56" s="46" t="s">
        <v>962</v>
      </c>
      <c r="B56" s="49" t="s">
        <v>877</v>
      </c>
      <c r="C56" s="2">
        <f>D56+L56+N56+P56+R56+S56+T56+U56</f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3">
      <c r="A57" s="45" t="s">
        <v>135</v>
      </c>
      <c r="B57" s="45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38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44">
        <f>C57+C352</f>
        <v>6986981.0300000012</v>
      </c>
    </row>
    <row r="58" spans="1:22" ht="25.2" customHeight="1" x14ac:dyDescent="0.3">
      <c r="A58" s="46" t="s">
        <v>963</v>
      </c>
      <c r="B58" s="49" t="s">
        <v>137</v>
      </c>
      <c r="C58" s="2">
        <f>D58+L58+N58+P58+R58+S58+T58+U58</f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32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>N58/M58</f>
        <v>1583.2684626475143</v>
      </c>
    </row>
    <row r="59" spans="1:22" ht="45" customHeight="1" x14ac:dyDescent="0.3">
      <c r="A59" s="45" t="s">
        <v>141</v>
      </c>
      <c r="B59" s="45"/>
      <c r="C59" s="2">
        <f t="shared" ref="C59:U59" si="19">SUM(C60)</f>
        <v>4680715.3900000006</v>
      </c>
      <c r="D59" s="2">
        <f t="shared" si="19"/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38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44">
        <f>C59</f>
        <v>4680715.3900000006</v>
      </c>
    </row>
    <row r="60" spans="1:22" ht="25.2" customHeight="1" x14ac:dyDescent="0.3">
      <c r="A60" s="46" t="s">
        <v>964</v>
      </c>
      <c r="B60" s="49" t="s">
        <v>823</v>
      </c>
      <c r="C60" s="2">
        <f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3">
      <c r="A61" s="45" t="s">
        <v>144</v>
      </c>
      <c r="B61" s="45"/>
      <c r="C61" s="2">
        <f t="shared" ref="C61:U61" si="20">SUM(C62:C63)</f>
        <v>4603498.0599999996</v>
      </c>
      <c r="D61" s="2">
        <f t="shared" si="20"/>
        <v>0</v>
      </c>
      <c r="E61" s="2">
        <f t="shared" si="20"/>
        <v>0</v>
      </c>
      <c r="F61" s="2">
        <f t="shared" si="20"/>
        <v>0</v>
      </c>
      <c r="G61" s="2">
        <f t="shared" si="20"/>
        <v>0</v>
      </c>
      <c r="H61" s="2">
        <f t="shared" si="20"/>
        <v>0</v>
      </c>
      <c r="I61" s="2">
        <f t="shared" si="20"/>
        <v>0</v>
      </c>
      <c r="J61" s="2">
        <f t="shared" si="20"/>
        <v>0</v>
      </c>
      <c r="K61" s="38">
        <f t="shared" si="20"/>
        <v>0</v>
      </c>
      <c r="L61" s="2">
        <f t="shared" si="20"/>
        <v>0</v>
      </c>
      <c r="M61" s="2">
        <f t="shared" si="20"/>
        <v>1228.1500000000001</v>
      </c>
      <c r="N61" s="2">
        <f t="shared" si="20"/>
        <v>4458689.3599999994</v>
      </c>
      <c r="O61" s="2">
        <f t="shared" si="20"/>
        <v>0</v>
      </c>
      <c r="P61" s="2">
        <f t="shared" si="20"/>
        <v>0</v>
      </c>
      <c r="Q61" s="2">
        <f t="shared" si="20"/>
        <v>0</v>
      </c>
      <c r="R61" s="2">
        <f t="shared" si="20"/>
        <v>0</v>
      </c>
      <c r="S61" s="2">
        <f t="shared" si="20"/>
        <v>0</v>
      </c>
      <c r="T61" s="2">
        <f t="shared" si="20"/>
        <v>0</v>
      </c>
      <c r="U61" s="2">
        <f t="shared" si="20"/>
        <v>144808.70000000001</v>
      </c>
      <c r="V61" s="44">
        <f>C61+C356+C777</f>
        <v>41371060.590000004</v>
      </c>
    </row>
    <row r="62" spans="1:22" ht="25.2" customHeight="1" x14ac:dyDescent="0.3">
      <c r="A62" s="46" t="s">
        <v>965</v>
      </c>
      <c r="B62" s="49" t="s">
        <v>146</v>
      </c>
      <c r="C62" s="2">
        <f>D62+L62+N62+P62+R62+S62+T62+U62</f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32">
        <v>0</v>
      </c>
      <c r="S62" s="3">
        <v>0</v>
      </c>
      <c r="T62" s="3">
        <v>0</v>
      </c>
      <c r="U62" s="3">
        <v>121357.1</v>
      </c>
      <c r="V62" s="6">
        <f>N62/M62</f>
        <v>4164.8231512025432</v>
      </c>
    </row>
    <row r="63" spans="1:22" ht="25.2" customHeight="1" x14ac:dyDescent="0.3">
      <c r="A63" s="46" t="s">
        <v>966</v>
      </c>
      <c r="B63" s="49" t="s">
        <v>148</v>
      </c>
      <c r="C63" s="2">
        <f>D63+L63+N63+P63+R63+S63+T63+U63</f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32">
        <v>0</v>
      </c>
      <c r="S63" s="3">
        <v>0</v>
      </c>
      <c r="T63" s="3">
        <v>0</v>
      </c>
      <c r="U63" s="3">
        <v>23451.599999999999</v>
      </c>
      <c r="V63" s="6">
        <f>N63/M63</f>
        <v>2501.1014955640053</v>
      </c>
    </row>
    <row r="64" spans="1:22" ht="40.049999999999997" customHeight="1" x14ac:dyDescent="0.3">
      <c r="A64" s="45" t="s">
        <v>925</v>
      </c>
      <c r="B64" s="45"/>
      <c r="C64" s="2">
        <f t="shared" ref="C64:U64" si="21">SUM(C65)</f>
        <v>1038347.45</v>
      </c>
      <c r="D64" s="2">
        <f t="shared" si="21"/>
        <v>0</v>
      </c>
      <c r="E64" s="2">
        <f t="shared" si="21"/>
        <v>0</v>
      </c>
      <c r="F64" s="2">
        <f t="shared" si="21"/>
        <v>0</v>
      </c>
      <c r="G64" s="2">
        <f t="shared" si="21"/>
        <v>0</v>
      </c>
      <c r="H64" s="2">
        <f t="shared" si="21"/>
        <v>0</v>
      </c>
      <c r="I64" s="2">
        <f t="shared" si="21"/>
        <v>0</v>
      </c>
      <c r="J64" s="2">
        <f t="shared" si="21"/>
        <v>0</v>
      </c>
      <c r="K64" s="38">
        <f t="shared" si="21"/>
        <v>0</v>
      </c>
      <c r="L64" s="2">
        <f t="shared" si="21"/>
        <v>0</v>
      </c>
      <c r="M64" s="2">
        <f t="shared" si="21"/>
        <v>297</v>
      </c>
      <c r="N64" s="2">
        <f t="shared" si="21"/>
        <v>989234.72</v>
      </c>
      <c r="O64" s="2">
        <f t="shared" si="21"/>
        <v>0</v>
      </c>
      <c r="P64" s="2">
        <f t="shared" si="21"/>
        <v>0</v>
      </c>
      <c r="Q64" s="2">
        <f t="shared" si="21"/>
        <v>0</v>
      </c>
      <c r="R64" s="2">
        <f t="shared" si="21"/>
        <v>0</v>
      </c>
      <c r="S64" s="2">
        <f t="shared" si="21"/>
        <v>0</v>
      </c>
      <c r="T64" s="2">
        <f t="shared" si="21"/>
        <v>0</v>
      </c>
      <c r="U64" s="2">
        <f t="shared" si="21"/>
        <v>49112.73</v>
      </c>
      <c r="V64" s="44">
        <f>C64+C360+C784</f>
        <v>4213687.8499999996</v>
      </c>
    </row>
    <row r="65" spans="1:22" ht="25.2" customHeight="1" x14ac:dyDescent="0.3">
      <c r="A65" s="46" t="s">
        <v>967</v>
      </c>
      <c r="B65" s="49" t="s">
        <v>149</v>
      </c>
      <c r="C65" s="2">
        <f>D65+L65+N65+P65+R65+S65+T65+U65</f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32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0.049999999999997" customHeight="1" x14ac:dyDescent="0.3">
      <c r="A66" s="45" t="s">
        <v>152</v>
      </c>
      <c r="B66" s="45"/>
      <c r="C66" s="2">
        <f t="shared" ref="C66:U66" si="22">SUM(C67)</f>
        <v>2269053.58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0</v>
      </c>
      <c r="J66" s="2">
        <f t="shared" si="22"/>
        <v>0</v>
      </c>
      <c r="K66" s="38">
        <f t="shared" si="22"/>
        <v>0</v>
      </c>
      <c r="L66" s="2">
        <f t="shared" si="22"/>
        <v>0</v>
      </c>
      <c r="M66" s="2">
        <f t="shared" si="22"/>
        <v>710</v>
      </c>
      <c r="N66" s="2">
        <f t="shared" si="22"/>
        <v>2234087.79</v>
      </c>
      <c r="O66" s="2">
        <f t="shared" si="22"/>
        <v>0</v>
      </c>
      <c r="P66" s="2">
        <f t="shared" si="22"/>
        <v>0</v>
      </c>
      <c r="Q66" s="2">
        <f t="shared" si="22"/>
        <v>0</v>
      </c>
      <c r="R66" s="2">
        <f t="shared" si="22"/>
        <v>0</v>
      </c>
      <c r="S66" s="2">
        <f t="shared" si="22"/>
        <v>0</v>
      </c>
      <c r="T66" s="2">
        <f t="shared" si="22"/>
        <v>0</v>
      </c>
      <c r="U66" s="2">
        <f t="shared" si="22"/>
        <v>34965.79</v>
      </c>
      <c r="V66" s="44">
        <f>C66</f>
        <v>2269053.58</v>
      </c>
    </row>
    <row r="67" spans="1:22" ht="25.2" customHeight="1" x14ac:dyDescent="0.3">
      <c r="A67" s="46" t="s">
        <v>968</v>
      </c>
      <c r="B67" s="49" t="s">
        <v>153</v>
      </c>
      <c r="C67" s="2">
        <f>D67+L67+N67+P67+R67+S67+T67+U67</f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0.049999999999997" customHeight="1" x14ac:dyDescent="0.3">
      <c r="A68" s="45" t="s">
        <v>154</v>
      </c>
      <c r="B68" s="45"/>
      <c r="C68" s="2">
        <f>SUM(C69:C85)</f>
        <v>94628257.640000015</v>
      </c>
      <c r="D68" s="2">
        <f t="shared" ref="D68:M68" si="23">SUM(D70:D85)</f>
        <v>23558992.600000001</v>
      </c>
      <c r="E68" s="2">
        <f t="shared" si="23"/>
        <v>3114461.6900000004</v>
      </c>
      <c r="F68" s="2">
        <f t="shared" si="23"/>
        <v>12001018.830000002</v>
      </c>
      <c r="G68" s="2">
        <f t="shared" si="23"/>
        <v>1803595.94</v>
      </c>
      <c r="H68" s="2">
        <f t="shared" si="23"/>
        <v>4526478.5600000005</v>
      </c>
      <c r="I68" s="2">
        <f t="shared" si="23"/>
        <v>2113437.58</v>
      </c>
      <c r="J68" s="2">
        <f t="shared" si="23"/>
        <v>0</v>
      </c>
      <c r="K68" s="38">
        <f t="shared" si="23"/>
        <v>0</v>
      </c>
      <c r="L68" s="2">
        <f t="shared" si="23"/>
        <v>0</v>
      </c>
      <c r="M68" s="2">
        <f t="shared" si="23"/>
        <v>7767.29</v>
      </c>
      <c r="N68" s="2">
        <f>SUM(N69:N85)</f>
        <v>32004630.640000001</v>
      </c>
      <c r="O68" s="2">
        <f>SUM(O70:O85)</f>
        <v>0</v>
      </c>
      <c r="P68" s="2">
        <f>SUM(P70:P85)</f>
        <v>0</v>
      </c>
      <c r="Q68" s="2">
        <f>SUM(Q70:Q85)</f>
        <v>12887.32</v>
      </c>
      <c r="R68" s="2">
        <f>SUM(R69:R85)</f>
        <v>36515734.180000007</v>
      </c>
      <c r="S68" s="2">
        <f>SUM(S70:S85)</f>
        <v>0</v>
      </c>
      <c r="T68" s="2">
        <f>SUM(T70:T85)</f>
        <v>0</v>
      </c>
      <c r="U68" s="2">
        <f>SUM(U69:U85)</f>
        <v>2548900.2199999997</v>
      </c>
      <c r="V68" s="44">
        <f>C68+C362+C788</f>
        <v>320635878.10000002</v>
      </c>
    </row>
    <row r="69" spans="1:22" ht="24" customHeight="1" x14ac:dyDescent="0.3">
      <c r="A69" s="46" t="s">
        <v>994</v>
      </c>
      <c r="B69" s="52" t="s">
        <v>156</v>
      </c>
      <c r="C69" s="2">
        <f t="shared" ref="C69:C85" si="24">D69+L69+N69+P69+R69+S69+T69+U69</f>
        <v>15306941.550000001</v>
      </c>
      <c r="D69" s="3">
        <f t="shared" ref="D69:D85" si="25"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32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 t="shared" ref="V69:V85" si="26">N69/M69</f>
        <v>2851.3543624855565</v>
      </c>
    </row>
    <row r="70" spans="1:22" ht="24" customHeight="1" x14ac:dyDescent="0.3">
      <c r="A70" s="46" t="s">
        <v>995</v>
      </c>
      <c r="B70" s="52" t="s">
        <v>157</v>
      </c>
      <c r="C70" s="2">
        <f t="shared" si="24"/>
        <v>16536342.01</v>
      </c>
      <c r="D70" s="3">
        <f t="shared" si="25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32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si="26"/>
        <v>2811.6659122991782</v>
      </c>
    </row>
    <row r="71" spans="1:22" ht="24" customHeight="1" x14ac:dyDescent="0.3">
      <c r="A71" s="46" t="s">
        <v>996</v>
      </c>
      <c r="B71" s="52" t="s">
        <v>160</v>
      </c>
      <c r="C71" s="2">
        <f t="shared" si="24"/>
        <v>12696722.070000002</v>
      </c>
      <c r="D71" s="3">
        <f t="shared" si="25"/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32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 t="shared" si="26"/>
        <v>3157.7174881084911</v>
      </c>
    </row>
    <row r="72" spans="1:22" ht="24" customHeight="1" x14ac:dyDescent="0.3">
      <c r="A72" s="46" t="s">
        <v>997</v>
      </c>
      <c r="B72" s="52" t="s">
        <v>161</v>
      </c>
      <c r="C72" s="2">
        <f t="shared" si="24"/>
        <v>15553270.66</v>
      </c>
      <c r="D72" s="3">
        <f t="shared" si="25"/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32">
        <v>0</v>
      </c>
      <c r="R72" s="3">
        <v>0</v>
      </c>
      <c r="S72" s="3">
        <v>0</v>
      </c>
      <c r="T72" s="3">
        <v>0</v>
      </c>
      <c r="U72" s="3">
        <v>198000</v>
      </c>
      <c r="V72" s="6">
        <f t="shared" si="26"/>
        <v>3186.1881455693201</v>
      </c>
    </row>
    <row r="73" spans="1:22" ht="24" customHeight="1" x14ac:dyDescent="0.3">
      <c r="A73" s="46" t="s">
        <v>998</v>
      </c>
      <c r="B73" s="52" t="s">
        <v>158</v>
      </c>
      <c r="C73" s="2">
        <f t="shared" si="24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32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26"/>
        <v>3187.0423408584443</v>
      </c>
    </row>
    <row r="74" spans="1:22" ht="24" customHeight="1" x14ac:dyDescent="0.3">
      <c r="A74" s="46" t="s">
        <v>999</v>
      </c>
      <c r="B74" s="52" t="s">
        <v>159</v>
      </c>
      <c r="C74" s="2">
        <f t="shared" si="24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32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26"/>
        <v>#DIV/0!</v>
      </c>
    </row>
    <row r="75" spans="1:22" ht="24" customHeight="1" x14ac:dyDescent="0.3">
      <c r="A75" s="46" t="s">
        <v>1000</v>
      </c>
      <c r="B75" s="1" t="s">
        <v>162</v>
      </c>
      <c r="C75" s="2">
        <f t="shared" si="24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32">
        <v>520</v>
      </c>
      <c r="R75" s="3">
        <v>651824.71</v>
      </c>
      <c r="S75" s="3">
        <f>S876</f>
        <v>0</v>
      </c>
      <c r="T75" s="3">
        <v>0</v>
      </c>
      <c r="U75" s="3">
        <v>184333.66</v>
      </c>
      <c r="V75" s="6">
        <f t="shared" si="26"/>
        <v>4134.5059701492537</v>
      </c>
    </row>
    <row r="76" spans="1:22" ht="24" customHeight="1" x14ac:dyDescent="0.3">
      <c r="A76" s="46" t="s">
        <v>1001</v>
      </c>
      <c r="B76" s="1" t="s">
        <v>163</v>
      </c>
      <c r="C76" s="2">
        <f t="shared" si="24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S910</f>
        <v>0</v>
      </c>
      <c r="T76" s="3">
        <v>0</v>
      </c>
      <c r="U76" s="3">
        <v>164922.54999999999</v>
      </c>
      <c r="V76" s="6">
        <f t="shared" si="26"/>
        <v>3832.6437613019893</v>
      </c>
    </row>
    <row r="77" spans="1:22" ht="24" customHeight="1" x14ac:dyDescent="0.3">
      <c r="A77" s="46" t="s">
        <v>1002</v>
      </c>
      <c r="B77" s="1" t="s">
        <v>796</v>
      </c>
      <c r="C77" s="2">
        <f t="shared" si="24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>M77*5300</f>
        <v>0</v>
      </c>
      <c r="O77" s="3">
        <v>0</v>
      </c>
      <c r="P77" s="3">
        <f>O77*410</f>
        <v>0</v>
      </c>
      <c r="Q77" s="3">
        <v>0</v>
      </c>
      <c r="R77" s="3">
        <f>Q77*2605</f>
        <v>0</v>
      </c>
      <c r="S77" s="3">
        <v>0</v>
      </c>
      <c r="T77" s="3">
        <v>0</v>
      </c>
      <c r="U77" s="3">
        <v>58827.5</v>
      </c>
      <c r="V77" s="6" t="e">
        <f t="shared" si="26"/>
        <v>#DIV/0!</v>
      </c>
    </row>
    <row r="78" spans="1:22" ht="24" customHeight="1" x14ac:dyDescent="0.3">
      <c r="A78" s="46" t="s">
        <v>1003</v>
      </c>
      <c r="B78" s="1" t="s">
        <v>164</v>
      </c>
      <c r="C78" s="2">
        <f t="shared" si="24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S911</f>
        <v>0</v>
      </c>
      <c r="T78" s="3">
        <v>0</v>
      </c>
      <c r="U78" s="3">
        <v>198000</v>
      </c>
      <c r="V78" s="6">
        <f t="shared" si="26"/>
        <v>4524.8304369747893</v>
      </c>
    </row>
    <row r="79" spans="1:22" ht="24" customHeight="1" x14ac:dyDescent="0.3">
      <c r="A79" s="46" t="s">
        <v>1004</v>
      </c>
      <c r="B79" s="1" t="s">
        <v>165</v>
      </c>
      <c r="C79" s="2">
        <f t="shared" si="24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S912</f>
        <v>0</v>
      </c>
      <c r="T79" s="3">
        <v>0</v>
      </c>
      <c r="U79" s="3">
        <v>198000</v>
      </c>
      <c r="V79" s="6">
        <f t="shared" si="26"/>
        <v>4174.937695121951</v>
      </c>
    </row>
    <row r="80" spans="1:22" ht="24" customHeight="1" x14ac:dyDescent="0.3">
      <c r="A80" s="46" t="s">
        <v>1005</v>
      </c>
      <c r="B80" s="1" t="s">
        <v>166</v>
      </c>
      <c r="C80" s="2">
        <f t="shared" si="24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>Q80*2605</f>
        <v>0</v>
      </c>
      <c r="S80" s="3">
        <v>0</v>
      </c>
      <c r="T80" s="3">
        <v>0</v>
      </c>
      <c r="U80" s="3">
        <v>124764.64</v>
      </c>
      <c r="V80" s="6" t="e">
        <f t="shared" si="26"/>
        <v>#DIV/0!</v>
      </c>
    </row>
    <row r="81" spans="1:22" ht="24" customHeight="1" x14ac:dyDescent="0.3">
      <c r="A81" s="46" t="s">
        <v>1006</v>
      </c>
      <c r="B81" s="1" t="s">
        <v>167</v>
      </c>
      <c r="C81" s="2">
        <f t="shared" si="24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>M81*5300</f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26"/>
        <v>5300</v>
      </c>
    </row>
    <row r="82" spans="1:22" ht="24" customHeight="1" x14ac:dyDescent="0.3">
      <c r="A82" s="46" t="s">
        <v>1007</v>
      </c>
      <c r="B82" s="1" t="s">
        <v>168</v>
      </c>
      <c r="C82" s="2">
        <f t="shared" si="24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S854</f>
        <v>0</v>
      </c>
      <c r="T82" s="3">
        <v>0</v>
      </c>
      <c r="U82" s="3">
        <v>140954.04</v>
      </c>
      <c r="V82" s="6" t="e">
        <f t="shared" si="26"/>
        <v>#DIV/0!</v>
      </c>
    </row>
    <row r="83" spans="1:22" ht="24" customHeight="1" x14ac:dyDescent="0.3">
      <c r="A83" s="46" t="s">
        <v>1008</v>
      </c>
      <c r="B83" s="52" t="s">
        <v>169</v>
      </c>
      <c r="C83" s="2">
        <f t="shared" si="24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>M83*5300</f>
        <v>0</v>
      </c>
      <c r="O83" s="3">
        <v>0</v>
      </c>
      <c r="P83" s="3">
        <v>0</v>
      </c>
      <c r="Q83" s="3">
        <v>0</v>
      </c>
      <c r="R83" s="3">
        <f>Q83*2605</f>
        <v>0</v>
      </c>
      <c r="S83" s="3">
        <f>S855</f>
        <v>0</v>
      </c>
      <c r="T83" s="3">
        <v>0</v>
      </c>
      <c r="U83" s="3">
        <v>52206.080000000002</v>
      </c>
      <c r="V83" s="6" t="e">
        <f t="shared" si="26"/>
        <v>#DIV/0!</v>
      </c>
    </row>
    <row r="84" spans="1:22" ht="24" customHeight="1" x14ac:dyDescent="0.3">
      <c r="A84" s="46" t="s">
        <v>1009</v>
      </c>
      <c r="B84" s="52" t="s">
        <v>170</v>
      </c>
      <c r="C84" s="2">
        <f t="shared" si="24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>M84*5300</f>
        <v>0</v>
      </c>
      <c r="O84" s="3">
        <v>0</v>
      </c>
      <c r="P84" s="3">
        <v>0</v>
      </c>
      <c r="Q84" s="3">
        <v>0</v>
      </c>
      <c r="R84" s="3">
        <f>Q84*2605</f>
        <v>0</v>
      </c>
      <c r="S84" s="3">
        <f>S856</f>
        <v>0</v>
      </c>
      <c r="T84" s="3">
        <v>0</v>
      </c>
      <c r="U84" s="3">
        <v>49933.51</v>
      </c>
      <c r="V84" s="6" t="e">
        <f t="shared" si="26"/>
        <v>#DIV/0!</v>
      </c>
    </row>
    <row r="85" spans="1:22" ht="24" customHeight="1" x14ac:dyDescent="0.3">
      <c r="A85" s="46" t="s">
        <v>1010</v>
      </c>
      <c r="B85" s="49" t="s">
        <v>860</v>
      </c>
      <c r="C85" s="2">
        <f t="shared" si="24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32">
        <v>0</v>
      </c>
      <c r="N85" s="32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26"/>
        <v>#DIV/0!</v>
      </c>
    </row>
    <row r="86" spans="1:22" ht="45" customHeight="1" x14ac:dyDescent="0.3">
      <c r="A86" s="45" t="s">
        <v>210</v>
      </c>
      <c r="B86" s="45"/>
      <c r="C86" s="2">
        <f t="shared" ref="C86:U86" si="27">SUM(C87:C88)</f>
        <v>2602069.1</v>
      </c>
      <c r="D86" s="2">
        <f t="shared" si="27"/>
        <v>454084.26000000007</v>
      </c>
      <c r="E86" s="2">
        <f t="shared" si="27"/>
        <v>145809.64000000001</v>
      </c>
      <c r="F86" s="2">
        <f t="shared" si="27"/>
        <v>202522</v>
      </c>
      <c r="G86" s="2">
        <f t="shared" si="27"/>
        <v>48192.91</v>
      </c>
      <c r="H86" s="2">
        <f t="shared" si="27"/>
        <v>0</v>
      </c>
      <c r="I86" s="2">
        <f t="shared" si="27"/>
        <v>57559.71</v>
      </c>
      <c r="J86" s="2">
        <f t="shared" si="27"/>
        <v>0</v>
      </c>
      <c r="K86" s="38">
        <f t="shared" si="27"/>
        <v>0</v>
      </c>
      <c r="L86" s="2">
        <f t="shared" si="27"/>
        <v>0</v>
      </c>
      <c r="M86" s="2">
        <f t="shared" si="27"/>
        <v>240</v>
      </c>
      <c r="N86" s="2">
        <f t="shared" si="27"/>
        <v>1032050.92</v>
      </c>
      <c r="O86" s="2">
        <f t="shared" si="27"/>
        <v>0</v>
      </c>
      <c r="P86" s="2">
        <f t="shared" si="27"/>
        <v>0</v>
      </c>
      <c r="Q86" s="2">
        <f t="shared" si="27"/>
        <v>408.6</v>
      </c>
      <c r="R86" s="2">
        <f t="shared" si="27"/>
        <v>1063447.25</v>
      </c>
      <c r="S86" s="2">
        <f t="shared" si="27"/>
        <v>0</v>
      </c>
      <c r="T86" s="2">
        <f t="shared" si="27"/>
        <v>0</v>
      </c>
      <c r="U86" s="2">
        <f t="shared" si="27"/>
        <v>52486.67</v>
      </c>
      <c r="V86" s="44">
        <f>C86+C806</f>
        <v>6997013.0999999996</v>
      </c>
    </row>
    <row r="87" spans="1:22" ht="25.2" customHeight="1" x14ac:dyDescent="0.3">
      <c r="A87" s="46" t="s">
        <v>1011</v>
      </c>
      <c r="B87" s="49" t="s">
        <v>211</v>
      </c>
      <c r="C87" s="2">
        <f>D87+L87+N87+P87+R87+S87+T87+U87</f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>N87/M87</f>
        <v>4300.2121666666671</v>
      </c>
    </row>
    <row r="88" spans="1:22" ht="25.2" customHeight="1" x14ac:dyDescent="0.3">
      <c r="A88" s="46" t="s">
        <v>1012</v>
      </c>
      <c r="B88" s="49" t="s">
        <v>212</v>
      </c>
      <c r="C88" s="2">
        <f>D88+L88+N88+P88+R88+S88+T88+U88</f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>N88/M88</f>
        <v>#DIV/0!</v>
      </c>
    </row>
    <row r="89" spans="1:22" ht="40.049999999999997" customHeight="1" x14ac:dyDescent="0.3">
      <c r="A89" s="45" t="s">
        <v>209</v>
      </c>
      <c r="B89" s="45"/>
      <c r="C89" s="2">
        <f t="shared" ref="C89:U89" si="28">SUM(C90:C95)</f>
        <v>5065932.63</v>
      </c>
      <c r="D89" s="2">
        <f t="shared" si="28"/>
        <v>203812.47</v>
      </c>
      <c r="E89" s="2">
        <f t="shared" si="28"/>
        <v>203812.47</v>
      </c>
      <c r="F89" s="2">
        <f t="shared" si="28"/>
        <v>0</v>
      </c>
      <c r="G89" s="2">
        <f t="shared" si="28"/>
        <v>0</v>
      </c>
      <c r="H89" s="2">
        <f t="shared" si="28"/>
        <v>0</v>
      </c>
      <c r="I89" s="2">
        <f t="shared" si="28"/>
        <v>0</v>
      </c>
      <c r="J89" s="2">
        <f t="shared" si="28"/>
        <v>0</v>
      </c>
      <c r="K89" s="38">
        <f t="shared" si="28"/>
        <v>0</v>
      </c>
      <c r="L89" s="2">
        <f t="shared" si="28"/>
        <v>0</v>
      </c>
      <c r="M89" s="2">
        <f t="shared" si="28"/>
        <v>370</v>
      </c>
      <c r="N89" s="2">
        <f t="shared" si="28"/>
        <v>1939364.18</v>
      </c>
      <c r="O89" s="2">
        <f t="shared" si="28"/>
        <v>0</v>
      </c>
      <c r="P89" s="2">
        <f t="shared" si="28"/>
        <v>0</v>
      </c>
      <c r="Q89" s="2">
        <f t="shared" si="28"/>
        <v>1390.05</v>
      </c>
      <c r="R89" s="2">
        <f t="shared" si="28"/>
        <v>2774118.74</v>
      </c>
      <c r="S89" s="2">
        <f t="shared" si="28"/>
        <v>0</v>
      </c>
      <c r="T89" s="2">
        <f t="shared" si="28"/>
        <v>0</v>
      </c>
      <c r="U89" s="2">
        <f t="shared" si="28"/>
        <v>148637.24</v>
      </c>
      <c r="V89" s="44">
        <f>C89+C382+C808</f>
        <v>54068179.509999998</v>
      </c>
    </row>
    <row r="90" spans="1:22" ht="25.2" customHeight="1" x14ac:dyDescent="0.3">
      <c r="A90" s="46" t="s">
        <v>1013</v>
      </c>
      <c r="B90" s="49" t="s">
        <v>200</v>
      </c>
      <c r="C90" s="2">
        <f t="shared" ref="C90:C95" si="29">D90+L90+N90+P90+R90+S90+T90+U90</f>
        <v>61829.57</v>
      </c>
      <c r="D90" s="3">
        <f t="shared" ref="D90:D95" si="30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32">
        <v>0</v>
      </c>
      <c r="N90" s="32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31">N90/M90</f>
        <v>#DIV/0!</v>
      </c>
    </row>
    <row r="91" spans="1:22" ht="25.2" customHeight="1" x14ac:dyDescent="0.3">
      <c r="A91" s="46" t="s">
        <v>1014</v>
      </c>
      <c r="B91" s="49" t="s">
        <v>203</v>
      </c>
      <c r="C91" s="2">
        <f t="shared" si="29"/>
        <v>32637.59</v>
      </c>
      <c r="D91" s="3">
        <f t="shared" si="30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31"/>
        <v>#DIV/0!</v>
      </c>
    </row>
    <row r="92" spans="1:22" ht="25.2" customHeight="1" x14ac:dyDescent="0.3">
      <c r="A92" s="46" t="s">
        <v>1015</v>
      </c>
      <c r="B92" s="49" t="s">
        <v>872</v>
      </c>
      <c r="C92" s="2">
        <f t="shared" si="29"/>
        <v>1326633.6000000001</v>
      </c>
      <c r="D92" s="3">
        <f t="shared" si="30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31"/>
        <v>#DIV/0!</v>
      </c>
    </row>
    <row r="93" spans="1:22" ht="25.2" customHeight="1" x14ac:dyDescent="0.3">
      <c r="A93" s="46" t="s">
        <v>1016</v>
      </c>
      <c r="B93" s="49" t="s">
        <v>204</v>
      </c>
      <c r="C93" s="2">
        <f t="shared" si="29"/>
        <v>54170.080000000002</v>
      </c>
      <c r="D93" s="3">
        <f t="shared" si="30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31"/>
        <v>#DIV/0!</v>
      </c>
    </row>
    <row r="94" spans="1:22" ht="25.2" customHeight="1" x14ac:dyDescent="0.3">
      <c r="A94" s="46" t="s">
        <v>1017</v>
      </c>
      <c r="B94" s="49" t="s">
        <v>873</v>
      </c>
      <c r="C94" s="2">
        <f t="shared" si="29"/>
        <v>2637062.5499999998</v>
      </c>
      <c r="D94" s="3">
        <f t="shared" si="30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32">
        <v>370</v>
      </c>
      <c r="N94" s="32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31"/>
        <v>5241.5248108108108</v>
      </c>
    </row>
    <row r="95" spans="1:22" ht="25.2" customHeight="1" x14ac:dyDescent="0.3">
      <c r="A95" s="46" t="s">
        <v>1018</v>
      </c>
      <c r="B95" s="49" t="s">
        <v>874</v>
      </c>
      <c r="C95" s="2">
        <f t="shared" si="29"/>
        <v>953599.24</v>
      </c>
      <c r="D95" s="3">
        <f t="shared" si="30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2">
        <v>432</v>
      </c>
      <c r="R95" s="32">
        <v>851933.85</v>
      </c>
      <c r="S95" s="3">
        <v>0</v>
      </c>
      <c r="T95" s="3">
        <v>0</v>
      </c>
      <c r="U95" s="3">
        <v>0</v>
      </c>
      <c r="V95" s="6" t="e">
        <f t="shared" si="31"/>
        <v>#DIV/0!</v>
      </c>
    </row>
    <row r="96" spans="1:22" ht="40.049999999999997" customHeight="1" x14ac:dyDescent="0.3">
      <c r="A96" s="45" t="s">
        <v>213</v>
      </c>
      <c r="B96" s="45"/>
      <c r="C96" s="2">
        <f>SUM(C97:C103)</f>
        <v>10285380.459999999</v>
      </c>
      <c r="D96" s="2">
        <f t="shared" ref="D96:M96" si="32">SUM(D98:D103)</f>
        <v>3102953.3</v>
      </c>
      <c r="E96" s="2">
        <f t="shared" si="32"/>
        <v>359199.98</v>
      </c>
      <c r="F96" s="2">
        <f t="shared" si="32"/>
        <v>1930196.5299999998</v>
      </c>
      <c r="G96" s="2">
        <f t="shared" si="32"/>
        <v>165331.20000000001</v>
      </c>
      <c r="H96" s="2">
        <f t="shared" si="32"/>
        <v>648225.59000000008</v>
      </c>
      <c r="I96" s="2">
        <f t="shared" si="32"/>
        <v>0</v>
      </c>
      <c r="J96" s="2">
        <f t="shared" si="32"/>
        <v>0</v>
      </c>
      <c r="K96" s="38">
        <f t="shared" si="32"/>
        <v>0</v>
      </c>
      <c r="L96" s="2">
        <f t="shared" si="32"/>
        <v>0</v>
      </c>
      <c r="M96" s="2">
        <f t="shared" si="32"/>
        <v>1610</v>
      </c>
      <c r="N96" s="2">
        <f>SUM(N97:N103)</f>
        <v>5424455.4399999995</v>
      </c>
      <c r="O96" s="2">
        <f>SUM(O98:O103)</f>
        <v>0</v>
      </c>
      <c r="P96" s="2">
        <f>SUM(P98:P103)</f>
        <v>0</v>
      </c>
      <c r="Q96" s="2">
        <f>SUM(Q98:Q103)</f>
        <v>660</v>
      </c>
      <c r="R96" s="2">
        <f>SUM(R97:R103)</f>
        <v>1240574.96</v>
      </c>
      <c r="S96" s="2">
        <f>SUM(S98:S103)</f>
        <v>0</v>
      </c>
      <c r="T96" s="2">
        <f>SUM(T98:T103)</f>
        <v>0</v>
      </c>
      <c r="U96" s="2">
        <f>SUM(U97:U103)</f>
        <v>517396.75999999995</v>
      </c>
      <c r="V96" s="44">
        <f>C96+C389+C818</f>
        <v>56682914.619999997</v>
      </c>
    </row>
    <row r="97" spans="1:22" ht="25.2" customHeight="1" x14ac:dyDescent="0.3">
      <c r="A97" s="46" t="s">
        <v>1019</v>
      </c>
      <c r="B97" s="49" t="s">
        <v>219</v>
      </c>
      <c r="C97" s="2">
        <f t="shared" ref="C97:C103" si="33">D97+L97+N97+P97+R97+S97+T97+U97</f>
        <v>67931.94</v>
      </c>
      <c r="D97" s="3">
        <f t="shared" ref="D97:D103" si="34"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 t="shared" ref="V97:V103" si="35">N97/M97</f>
        <v>#DIV/0!</v>
      </c>
    </row>
    <row r="98" spans="1:22" ht="25.2" customHeight="1" x14ac:dyDescent="0.3">
      <c r="A98" s="46" t="s">
        <v>1020</v>
      </c>
      <c r="B98" s="49" t="s">
        <v>216</v>
      </c>
      <c r="C98" s="2">
        <f t="shared" si="33"/>
        <v>1896196.86</v>
      </c>
      <c r="D98" s="3">
        <f t="shared" si="34"/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si="35"/>
        <v>#DIV/0!</v>
      </c>
    </row>
    <row r="99" spans="1:22" ht="25.2" customHeight="1" x14ac:dyDescent="0.3">
      <c r="A99" s="46" t="s">
        <v>1021</v>
      </c>
      <c r="B99" s="49" t="s">
        <v>217</v>
      </c>
      <c r="C99" s="2">
        <f t="shared" si="33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35"/>
        <v>2851.0027797833936</v>
      </c>
    </row>
    <row r="100" spans="1:22" ht="25.2" customHeight="1" x14ac:dyDescent="0.3">
      <c r="A100" s="46" t="s">
        <v>1022</v>
      </c>
      <c r="B100" s="49" t="s">
        <v>218</v>
      </c>
      <c r="C100" s="2">
        <f t="shared" si="33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35"/>
        <v>#DIV/0!</v>
      </c>
    </row>
    <row r="101" spans="1:22" ht="25.2" customHeight="1" x14ac:dyDescent="0.3">
      <c r="A101" s="46" t="s">
        <v>1023</v>
      </c>
      <c r="B101" s="49" t="s">
        <v>225</v>
      </c>
      <c r="C101" s="2">
        <f t="shared" si="33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35"/>
        <v>#DIV/0!</v>
      </c>
    </row>
    <row r="102" spans="1:22" ht="25.2" customHeight="1" x14ac:dyDescent="0.3">
      <c r="A102" s="46" t="s">
        <v>1024</v>
      </c>
      <c r="B102" s="49" t="s">
        <v>226</v>
      </c>
      <c r="C102" s="2">
        <f t="shared" si="33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35"/>
        <v>4513.0365737051789</v>
      </c>
    </row>
    <row r="103" spans="1:22" ht="25.2" customHeight="1" x14ac:dyDescent="0.3">
      <c r="A103" s="46" t="s">
        <v>1025</v>
      </c>
      <c r="B103" s="49" t="s">
        <v>227</v>
      </c>
      <c r="C103" s="2">
        <f t="shared" si="33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35"/>
        <v>#DIV/0!</v>
      </c>
    </row>
    <row r="104" spans="1:22" ht="40.049999999999997" customHeight="1" x14ac:dyDescent="0.3">
      <c r="A104" s="45" t="s">
        <v>255</v>
      </c>
      <c r="B104" s="45"/>
      <c r="C104" s="2">
        <f t="shared" ref="C104:U104" si="36">SUM(C105:C113)</f>
        <v>21052476.790000003</v>
      </c>
      <c r="D104" s="2">
        <f t="shared" si="36"/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38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44">
        <f>C104+C399+C831</f>
        <v>231707099.03000003</v>
      </c>
    </row>
    <row r="105" spans="1:22" ht="25.2" customHeight="1" x14ac:dyDescent="0.3">
      <c r="A105" s="46" t="s">
        <v>1026</v>
      </c>
      <c r="B105" s="53" t="s">
        <v>231</v>
      </c>
      <c r="C105" s="2">
        <f t="shared" ref="C105:C113" si="37">D105+L105+N105+P105+R105+S105+T105+U105</f>
        <v>11569870.460000001</v>
      </c>
      <c r="D105" s="3">
        <f t="shared" ref="D105:D113" si="38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39">N105/M105</f>
        <v>5093.990734030438</v>
      </c>
    </row>
    <row r="106" spans="1:22" ht="25.2" customHeight="1" x14ac:dyDescent="0.3">
      <c r="A106" s="46" t="s">
        <v>1027</v>
      </c>
      <c r="B106" s="53" t="s">
        <v>232</v>
      </c>
      <c r="C106" s="2">
        <f t="shared" si="37"/>
        <v>8428223.7300000004</v>
      </c>
      <c r="D106" s="3">
        <f t="shared" si="38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39"/>
        <v>4750.6406459948321</v>
      </c>
    </row>
    <row r="107" spans="1:22" ht="25.2" customHeight="1" x14ac:dyDescent="0.3">
      <c r="A107" s="46" t="s">
        <v>1028</v>
      </c>
      <c r="B107" s="53" t="s">
        <v>233</v>
      </c>
      <c r="C107" s="2">
        <f t="shared" si="37"/>
        <v>199000</v>
      </c>
      <c r="D107" s="3">
        <f t="shared" si="38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39"/>
        <v>#DIV/0!</v>
      </c>
    </row>
    <row r="108" spans="1:22" ht="25.2" customHeight="1" x14ac:dyDescent="0.3">
      <c r="A108" s="46" t="s">
        <v>969</v>
      </c>
      <c r="B108" s="49" t="s">
        <v>235</v>
      </c>
      <c r="C108" s="2">
        <f t="shared" si="37"/>
        <v>317122.92</v>
      </c>
      <c r="D108" s="3">
        <f t="shared" si="38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39"/>
        <v>#DIV/0!</v>
      </c>
    </row>
    <row r="109" spans="1:22" ht="25.2" customHeight="1" x14ac:dyDescent="0.3">
      <c r="A109" s="46" t="s">
        <v>1029</v>
      </c>
      <c r="B109" s="53" t="s">
        <v>234</v>
      </c>
      <c r="C109" s="2">
        <f t="shared" si="37"/>
        <v>62427.49</v>
      </c>
      <c r="D109" s="3">
        <f t="shared" si="38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39"/>
        <v>#DIV/0!</v>
      </c>
    </row>
    <row r="110" spans="1:22" ht="25.2" customHeight="1" x14ac:dyDescent="0.3">
      <c r="A110" s="46" t="s">
        <v>1030</v>
      </c>
      <c r="B110" s="53" t="s">
        <v>236</v>
      </c>
      <c r="C110" s="2">
        <f t="shared" si="37"/>
        <v>76336.39</v>
      </c>
      <c r="D110" s="3">
        <f t="shared" si="38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39"/>
        <v>#DIV/0!</v>
      </c>
    </row>
    <row r="111" spans="1:22" ht="25.2" customHeight="1" x14ac:dyDescent="0.3">
      <c r="A111" s="46" t="s">
        <v>1031</v>
      </c>
      <c r="B111" s="53" t="s">
        <v>237</v>
      </c>
      <c r="C111" s="2">
        <f t="shared" si="37"/>
        <v>199000</v>
      </c>
      <c r="D111" s="3">
        <f t="shared" si="38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39"/>
        <v>#DIV/0!</v>
      </c>
    </row>
    <row r="112" spans="1:22" ht="25.2" customHeight="1" x14ac:dyDescent="0.3">
      <c r="A112" s="46" t="s">
        <v>970</v>
      </c>
      <c r="B112" s="53" t="s">
        <v>246</v>
      </c>
      <c r="C112" s="2">
        <f t="shared" si="37"/>
        <v>81875.320000000007</v>
      </c>
      <c r="D112" s="3">
        <f t="shared" si="38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39"/>
        <v>#DIV/0!</v>
      </c>
    </row>
    <row r="113" spans="1:22" ht="25.2" customHeight="1" x14ac:dyDescent="0.3">
      <c r="A113" s="46" t="s">
        <v>1032</v>
      </c>
      <c r="B113" s="53" t="s">
        <v>249</v>
      </c>
      <c r="C113" s="2">
        <f t="shared" si="37"/>
        <v>118620.48</v>
      </c>
      <c r="D113" s="3">
        <f t="shared" si="38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39"/>
        <v>#DIV/0!</v>
      </c>
    </row>
    <row r="114" spans="1:22" ht="40.049999999999997" customHeight="1" x14ac:dyDescent="0.3">
      <c r="A114" s="45" t="s">
        <v>819</v>
      </c>
      <c r="B114" s="45"/>
      <c r="C114" s="2">
        <f t="shared" ref="C114:U114" si="40">SUM(C115)</f>
        <v>1686325.08</v>
      </c>
      <c r="D114" s="2">
        <f t="shared" si="40"/>
        <v>0</v>
      </c>
      <c r="E114" s="2">
        <f t="shared" si="40"/>
        <v>0</v>
      </c>
      <c r="F114" s="2">
        <f t="shared" si="40"/>
        <v>0</v>
      </c>
      <c r="G114" s="2">
        <f t="shared" si="40"/>
        <v>0</v>
      </c>
      <c r="H114" s="2">
        <f t="shared" si="40"/>
        <v>0</v>
      </c>
      <c r="I114" s="2">
        <f t="shared" si="40"/>
        <v>0</v>
      </c>
      <c r="J114" s="2">
        <f t="shared" si="40"/>
        <v>0</v>
      </c>
      <c r="K114" s="38">
        <f t="shared" si="40"/>
        <v>0</v>
      </c>
      <c r="L114" s="2">
        <f t="shared" si="40"/>
        <v>0</v>
      </c>
      <c r="M114" s="2">
        <f t="shared" si="40"/>
        <v>536.4</v>
      </c>
      <c r="N114" s="2">
        <f t="shared" si="40"/>
        <v>1654017.3</v>
      </c>
      <c r="O114" s="2">
        <f t="shared" si="40"/>
        <v>0</v>
      </c>
      <c r="P114" s="2">
        <f t="shared" si="40"/>
        <v>0</v>
      </c>
      <c r="Q114" s="2">
        <f t="shared" si="40"/>
        <v>0</v>
      </c>
      <c r="R114" s="2">
        <f t="shared" si="40"/>
        <v>0</v>
      </c>
      <c r="S114" s="2">
        <f t="shared" si="40"/>
        <v>0</v>
      </c>
      <c r="T114" s="2">
        <f t="shared" si="40"/>
        <v>0</v>
      </c>
      <c r="U114" s="2">
        <f t="shared" si="40"/>
        <v>32307.78</v>
      </c>
      <c r="V114" s="44">
        <f>C114+C416</f>
        <v>3666325.08</v>
      </c>
    </row>
    <row r="115" spans="1:22" ht="25.2" customHeight="1" x14ac:dyDescent="0.3">
      <c r="A115" s="46" t="s">
        <v>1033</v>
      </c>
      <c r="B115" s="53" t="s">
        <v>820</v>
      </c>
      <c r="C115" s="2">
        <f>D115+L115+N115+P115+R115+S115+T115+U115</f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0.049999999999997" customHeight="1" x14ac:dyDescent="0.3">
      <c r="A116" s="45" t="s">
        <v>256</v>
      </c>
      <c r="B116" s="45"/>
      <c r="C116" s="2">
        <f t="shared" ref="C116:U116" si="41">SUM(C117)</f>
        <v>166377.20000000001</v>
      </c>
      <c r="D116" s="2">
        <f t="shared" si="41"/>
        <v>0</v>
      </c>
      <c r="E116" s="2">
        <f t="shared" si="41"/>
        <v>0</v>
      </c>
      <c r="F116" s="2">
        <f t="shared" si="41"/>
        <v>0</v>
      </c>
      <c r="G116" s="2">
        <f t="shared" si="41"/>
        <v>0</v>
      </c>
      <c r="H116" s="2">
        <f t="shared" si="41"/>
        <v>0</v>
      </c>
      <c r="I116" s="2">
        <f t="shared" si="41"/>
        <v>0</v>
      </c>
      <c r="J116" s="2">
        <f t="shared" si="41"/>
        <v>0</v>
      </c>
      <c r="K116" s="38">
        <f t="shared" si="41"/>
        <v>0</v>
      </c>
      <c r="L116" s="2">
        <f t="shared" si="41"/>
        <v>0</v>
      </c>
      <c r="M116" s="2">
        <f t="shared" si="41"/>
        <v>0</v>
      </c>
      <c r="N116" s="2">
        <f t="shared" si="41"/>
        <v>0</v>
      </c>
      <c r="O116" s="2">
        <f t="shared" si="41"/>
        <v>0</v>
      </c>
      <c r="P116" s="2">
        <f t="shared" si="41"/>
        <v>0</v>
      </c>
      <c r="Q116" s="2">
        <f t="shared" si="41"/>
        <v>0</v>
      </c>
      <c r="R116" s="2">
        <f t="shared" si="41"/>
        <v>0</v>
      </c>
      <c r="S116" s="2">
        <f t="shared" si="41"/>
        <v>0</v>
      </c>
      <c r="T116" s="2">
        <f t="shared" si="41"/>
        <v>0</v>
      </c>
      <c r="U116" s="2">
        <f t="shared" si="41"/>
        <v>166377.20000000001</v>
      </c>
      <c r="V116" s="44">
        <f>C116</f>
        <v>166377.20000000001</v>
      </c>
    </row>
    <row r="117" spans="1:22" ht="25.2" customHeight="1" x14ac:dyDescent="0.3">
      <c r="A117" s="46" t="s">
        <v>1034</v>
      </c>
      <c r="B117" s="53" t="s">
        <v>257</v>
      </c>
      <c r="C117" s="2">
        <f>D117+L117+N117+P117+R117+S117+T117+U117</f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0.049999999999997" customHeight="1" x14ac:dyDescent="0.3">
      <c r="A118" s="45" t="s">
        <v>875</v>
      </c>
      <c r="B118" s="45"/>
      <c r="C118" s="2">
        <f t="shared" ref="C118:U118" si="42">SUM(C119)</f>
        <v>2170164.9699999997</v>
      </c>
      <c r="D118" s="2">
        <f t="shared" si="42"/>
        <v>280113.19</v>
      </c>
      <c r="E118" s="2">
        <f t="shared" si="42"/>
        <v>198739.27</v>
      </c>
      <c r="F118" s="2">
        <f t="shared" si="42"/>
        <v>0</v>
      </c>
      <c r="G118" s="2">
        <f t="shared" si="42"/>
        <v>0</v>
      </c>
      <c r="H118" s="2">
        <f t="shared" si="42"/>
        <v>0</v>
      </c>
      <c r="I118" s="2">
        <f t="shared" si="42"/>
        <v>81373.919999999998</v>
      </c>
      <c r="J118" s="2">
        <f t="shared" si="42"/>
        <v>0</v>
      </c>
      <c r="K118" s="38">
        <f t="shared" si="42"/>
        <v>0</v>
      </c>
      <c r="L118" s="2">
        <f t="shared" si="42"/>
        <v>0</v>
      </c>
      <c r="M118" s="2">
        <f t="shared" si="42"/>
        <v>0</v>
      </c>
      <c r="N118" s="2">
        <f t="shared" si="42"/>
        <v>0</v>
      </c>
      <c r="O118" s="2">
        <f t="shared" si="42"/>
        <v>0</v>
      </c>
      <c r="P118" s="2">
        <f t="shared" si="42"/>
        <v>0</v>
      </c>
      <c r="Q118" s="2">
        <f t="shared" si="42"/>
        <v>710</v>
      </c>
      <c r="R118" s="2">
        <f t="shared" si="42"/>
        <v>1743230.17</v>
      </c>
      <c r="S118" s="2">
        <f t="shared" si="42"/>
        <v>0</v>
      </c>
      <c r="T118" s="2">
        <f t="shared" si="42"/>
        <v>0</v>
      </c>
      <c r="U118" s="2">
        <f t="shared" si="42"/>
        <v>146821.60999999999</v>
      </c>
      <c r="V118" s="44">
        <f>C118</f>
        <v>2170164.9699999997</v>
      </c>
    </row>
    <row r="119" spans="1:22" ht="25.2" customHeight="1" x14ac:dyDescent="0.3">
      <c r="A119" s="46" t="s">
        <v>971</v>
      </c>
      <c r="B119" s="53" t="s">
        <v>876</v>
      </c>
      <c r="C119" s="2">
        <f>D119+L119+N119+P119+R119+S119+T119+U119</f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34.950000000000003" customHeight="1" x14ac:dyDescent="0.3">
      <c r="A120" s="45" t="s">
        <v>360</v>
      </c>
      <c r="B120" s="45"/>
      <c r="C120" s="2">
        <f t="shared" ref="C120:U120" si="43">SUM(C121:C236)</f>
        <v>305918620.67000008</v>
      </c>
      <c r="D120" s="2">
        <f t="shared" si="43"/>
        <v>113103388.14000002</v>
      </c>
      <c r="E120" s="2">
        <f t="shared" si="43"/>
        <v>17706561.520000003</v>
      </c>
      <c r="F120" s="2">
        <f t="shared" si="43"/>
        <v>69731826.920000002</v>
      </c>
      <c r="G120" s="2">
        <f t="shared" si="43"/>
        <v>8199732.6899999995</v>
      </c>
      <c r="H120" s="2">
        <f t="shared" si="43"/>
        <v>10460029.600000001</v>
      </c>
      <c r="I120" s="2">
        <f t="shared" si="43"/>
        <v>7005237.4100000001</v>
      </c>
      <c r="J120" s="2">
        <f t="shared" si="43"/>
        <v>0</v>
      </c>
      <c r="K120" s="38">
        <f t="shared" si="43"/>
        <v>2</v>
      </c>
      <c r="L120" s="2">
        <f t="shared" si="43"/>
        <v>3467713.03</v>
      </c>
      <c r="M120" s="2">
        <f t="shared" si="43"/>
        <v>25419.300000000007</v>
      </c>
      <c r="N120" s="2">
        <f t="shared" si="43"/>
        <v>116337857.07000002</v>
      </c>
      <c r="O120" s="2">
        <f t="shared" si="43"/>
        <v>1032</v>
      </c>
      <c r="P120" s="2">
        <f t="shared" si="43"/>
        <v>1229693.94</v>
      </c>
      <c r="Q120" s="2">
        <f t="shared" si="43"/>
        <v>25327.71</v>
      </c>
      <c r="R120" s="2">
        <f t="shared" si="43"/>
        <v>57600037.990000002</v>
      </c>
      <c r="S120" s="2">
        <f t="shared" si="43"/>
        <v>60982.93</v>
      </c>
      <c r="T120" s="2">
        <f t="shared" si="43"/>
        <v>678303.6</v>
      </c>
      <c r="U120" s="2">
        <f t="shared" si="43"/>
        <v>13440643.969999997</v>
      </c>
      <c r="V120" s="44">
        <f>C120+C425+C859</f>
        <v>2134394940.2599995</v>
      </c>
    </row>
    <row r="121" spans="1:22" ht="25.2" customHeight="1" x14ac:dyDescent="0.3">
      <c r="A121" s="46" t="s">
        <v>1035</v>
      </c>
      <c r="B121" s="49" t="s">
        <v>452</v>
      </c>
      <c r="C121" s="2">
        <f t="shared" ref="C121:C152" si="44">D121+L121+N121+P121+R121+S121+T121+U121</f>
        <v>3323627.13</v>
      </c>
      <c r="D121" s="3">
        <f t="shared" ref="D121:D152" si="45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52" si="46">N121/M121</f>
        <v>4865.2083055975791</v>
      </c>
    </row>
    <row r="122" spans="1:22" ht="25.2" customHeight="1" x14ac:dyDescent="0.3">
      <c r="A122" s="46" t="s">
        <v>1036</v>
      </c>
      <c r="B122" s="49" t="s">
        <v>453</v>
      </c>
      <c r="C122" s="2">
        <f t="shared" si="44"/>
        <v>3234332.3800000004</v>
      </c>
      <c r="D122" s="3">
        <f t="shared" si="45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46"/>
        <v>4998.4420095693786</v>
      </c>
    </row>
    <row r="123" spans="1:22" ht="25.2" customHeight="1" x14ac:dyDescent="0.3">
      <c r="A123" s="46" t="s">
        <v>1037</v>
      </c>
      <c r="B123" s="49" t="s">
        <v>468</v>
      </c>
      <c r="C123" s="2">
        <f t="shared" si="44"/>
        <v>4313501.8099999996</v>
      </c>
      <c r="D123" s="3">
        <f t="shared" si="45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46"/>
        <v>5196.6750368912926</v>
      </c>
    </row>
    <row r="124" spans="1:22" ht="25.2" customHeight="1" x14ac:dyDescent="0.3">
      <c r="A124" s="46" t="s">
        <v>1038</v>
      </c>
      <c r="B124" s="49" t="s">
        <v>410</v>
      </c>
      <c r="C124" s="2">
        <f t="shared" si="44"/>
        <v>163490.91</v>
      </c>
      <c r="D124" s="3">
        <f t="shared" si="45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46"/>
        <v>#DIV/0!</v>
      </c>
    </row>
    <row r="125" spans="1:22" ht="25.2" customHeight="1" x14ac:dyDescent="0.3">
      <c r="A125" s="46" t="s">
        <v>1039</v>
      </c>
      <c r="B125" s="49" t="s">
        <v>469</v>
      </c>
      <c r="C125" s="2">
        <f t="shared" si="44"/>
        <v>5015105.75</v>
      </c>
      <c r="D125" s="3">
        <f t="shared" si="45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46"/>
        <v>5299.9992508710802</v>
      </c>
    </row>
    <row r="126" spans="1:22" ht="25.2" customHeight="1" x14ac:dyDescent="0.3">
      <c r="A126" s="46" t="s">
        <v>1040</v>
      </c>
      <c r="B126" s="49" t="s">
        <v>404</v>
      </c>
      <c r="C126" s="2">
        <f t="shared" si="44"/>
        <v>173076.4</v>
      </c>
      <c r="D126" s="3">
        <f t="shared" si="45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46"/>
        <v>#DIV/0!</v>
      </c>
    </row>
    <row r="127" spans="1:22" ht="25.2" customHeight="1" x14ac:dyDescent="0.3">
      <c r="A127" s="46" t="s">
        <v>1041</v>
      </c>
      <c r="B127" s="54" t="s">
        <v>361</v>
      </c>
      <c r="C127" s="2">
        <f t="shared" si="44"/>
        <v>1822584.59</v>
      </c>
      <c r="D127" s="3">
        <f t="shared" si="45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46"/>
        <v>3913.8824922532094</v>
      </c>
    </row>
    <row r="128" spans="1:22" ht="25.2" customHeight="1" x14ac:dyDescent="0.3">
      <c r="A128" s="46" t="s">
        <v>1042</v>
      </c>
      <c r="B128" s="55" t="s">
        <v>856</v>
      </c>
      <c r="C128" s="2">
        <f t="shared" si="44"/>
        <v>431384.7</v>
      </c>
      <c r="D128" s="3">
        <f t="shared" si="45"/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 t="shared" si="46"/>
        <v>#DIV/0!</v>
      </c>
    </row>
    <row r="129" spans="1:22" ht="25.2" customHeight="1" x14ac:dyDescent="0.3">
      <c r="A129" s="46" t="s">
        <v>1043</v>
      </c>
      <c r="B129" s="55" t="s">
        <v>857</v>
      </c>
      <c r="C129" s="2">
        <f t="shared" si="44"/>
        <v>404313.16</v>
      </c>
      <c r="D129" s="3">
        <f t="shared" si="45"/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 t="shared" si="46"/>
        <v>#DIV/0!</v>
      </c>
    </row>
    <row r="130" spans="1:22" ht="25.2" customHeight="1" x14ac:dyDescent="0.3">
      <c r="A130" s="46" t="s">
        <v>1044</v>
      </c>
      <c r="B130" s="55" t="s">
        <v>858</v>
      </c>
      <c r="C130" s="2">
        <f t="shared" si="44"/>
        <v>400760.45</v>
      </c>
      <c r="D130" s="3">
        <f t="shared" si="45"/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 t="shared" si="46"/>
        <v>#DIV/0!</v>
      </c>
    </row>
    <row r="131" spans="1:22" ht="25.2" customHeight="1" x14ac:dyDescent="0.3">
      <c r="A131" s="46" t="s">
        <v>1045</v>
      </c>
      <c r="B131" s="49" t="s">
        <v>405</v>
      </c>
      <c r="C131" s="2">
        <f t="shared" si="44"/>
        <v>39639.949999999997</v>
      </c>
      <c r="D131" s="3">
        <f t="shared" si="45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46"/>
        <v>#DIV/0!</v>
      </c>
    </row>
    <row r="132" spans="1:22" ht="25.2" customHeight="1" x14ac:dyDescent="0.3">
      <c r="A132" s="46" t="s">
        <v>1046</v>
      </c>
      <c r="B132" s="54" t="s">
        <v>406</v>
      </c>
      <c r="C132" s="2">
        <f t="shared" si="44"/>
        <v>55918.46</v>
      </c>
      <c r="D132" s="3">
        <f t="shared" si="45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46"/>
        <v>#DIV/0!</v>
      </c>
    </row>
    <row r="133" spans="1:22" ht="25.2" customHeight="1" x14ac:dyDescent="0.3">
      <c r="A133" s="46" t="s">
        <v>1047</v>
      </c>
      <c r="B133" s="54" t="s">
        <v>425</v>
      </c>
      <c r="C133" s="2">
        <f t="shared" si="44"/>
        <v>64358.54</v>
      </c>
      <c r="D133" s="3">
        <f t="shared" si="45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46"/>
        <v>#DIV/0!</v>
      </c>
    </row>
    <row r="134" spans="1:22" ht="25.2" customHeight="1" x14ac:dyDescent="0.3">
      <c r="A134" s="46" t="s">
        <v>1048</v>
      </c>
      <c r="B134" s="49" t="s">
        <v>470</v>
      </c>
      <c r="C134" s="2">
        <f t="shared" si="44"/>
        <v>2558331.8400000003</v>
      </c>
      <c r="D134" s="3">
        <f t="shared" si="45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46"/>
        <v>3539.6632843414359</v>
      </c>
    </row>
    <row r="135" spans="1:22" ht="25.2" customHeight="1" x14ac:dyDescent="0.3">
      <c r="A135" s="46" t="s">
        <v>1049</v>
      </c>
      <c r="B135" s="49" t="s">
        <v>471</v>
      </c>
      <c r="C135" s="2">
        <f t="shared" si="44"/>
        <v>53597.85</v>
      </c>
      <c r="D135" s="3">
        <f t="shared" si="45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46"/>
        <v>#DIV/0!</v>
      </c>
    </row>
    <row r="136" spans="1:22" ht="25.2" customHeight="1" x14ac:dyDescent="0.3">
      <c r="A136" s="46" t="s">
        <v>1050</v>
      </c>
      <c r="B136" s="49" t="s">
        <v>472</v>
      </c>
      <c r="C136" s="2">
        <f t="shared" si="44"/>
        <v>68863.03</v>
      </c>
      <c r="D136" s="3">
        <f t="shared" si="45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46"/>
        <v>#DIV/0!</v>
      </c>
    </row>
    <row r="137" spans="1:22" ht="25.2" customHeight="1" x14ac:dyDescent="0.3">
      <c r="A137" s="46" t="s">
        <v>1051</v>
      </c>
      <c r="B137" s="49" t="s">
        <v>454</v>
      </c>
      <c r="C137" s="2">
        <f t="shared" si="44"/>
        <v>84581.04</v>
      </c>
      <c r="D137" s="3">
        <f t="shared" si="45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46"/>
        <v>#DIV/0!</v>
      </c>
    </row>
    <row r="138" spans="1:22" ht="25.2" customHeight="1" x14ac:dyDescent="0.3">
      <c r="A138" s="46" t="s">
        <v>1052</v>
      </c>
      <c r="B138" s="49" t="s">
        <v>473</v>
      </c>
      <c r="C138" s="2">
        <f t="shared" si="44"/>
        <v>41774.69</v>
      </c>
      <c r="D138" s="3">
        <f t="shared" si="45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46"/>
        <v>#DIV/0!</v>
      </c>
    </row>
    <row r="139" spans="1:22" ht="25.2" customHeight="1" x14ac:dyDescent="0.3">
      <c r="A139" s="46" t="s">
        <v>1053</v>
      </c>
      <c r="B139" s="49" t="s">
        <v>398</v>
      </c>
      <c r="C139" s="2">
        <f t="shared" si="44"/>
        <v>95551.6</v>
      </c>
      <c r="D139" s="3">
        <f t="shared" si="45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46"/>
        <v>#DIV/0!</v>
      </c>
    </row>
    <row r="140" spans="1:22" ht="24" customHeight="1" x14ac:dyDescent="0.3">
      <c r="A140" s="46" t="s">
        <v>1054</v>
      </c>
      <c r="B140" s="54" t="s">
        <v>455</v>
      </c>
      <c r="C140" s="2">
        <f t="shared" si="44"/>
        <v>108492.72</v>
      </c>
      <c r="D140" s="3">
        <f t="shared" si="45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46"/>
        <v>#DIV/0!</v>
      </c>
    </row>
    <row r="141" spans="1:22" ht="24" customHeight="1" x14ac:dyDescent="0.3">
      <c r="A141" s="46" t="s">
        <v>1055</v>
      </c>
      <c r="B141" s="49" t="s">
        <v>370</v>
      </c>
      <c r="C141" s="2">
        <f t="shared" si="44"/>
        <v>3164401.52</v>
      </c>
      <c r="D141" s="3">
        <f t="shared" si="45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46"/>
        <v>5646.1239223134653</v>
      </c>
    </row>
    <row r="142" spans="1:22" ht="24" customHeight="1" x14ac:dyDescent="0.3">
      <c r="A142" s="46" t="s">
        <v>1056</v>
      </c>
      <c r="B142" s="49" t="s">
        <v>474</v>
      </c>
      <c r="C142" s="2">
        <f t="shared" si="44"/>
        <v>2763011.6300000004</v>
      </c>
      <c r="D142" s="3">
        <f t="shared" si="45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46"/>
        <v>5299.9767752583803</v>
      </c>
    </row>
    <row r="143" spans="1:22" ht="24" customHeight="1" x14ac:dyDescent="0.3">
      <c r="A143" s="46" t="s">
        <v>1057</v>
      </c>
      <c r="B143" s="49" t="s">
        <v>475</v>
      </c>
      <c r="C143" s="2">
        <f t="shared" si="44"/>
        <v>1935029.82</v>
      </c>
      <c r="D143" s="3">
        <f t="shared" si="45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46"/>
        <v>4350.7331244196839</v>
      </c>
    </row>
    <row r="144" spans="1:22" ht="24" customHeight="1" x14ac:dyDescent="0.3">
      <c r="A144" s="46" t="s">
        <v>1058</v>
      </c>
      <c r="B144" s="49" t="s">
        <v>439</v>
      </c>
      <c r="C144" s="2">
        <f t="shared" si="44"/>
        <v>1988523.26</v>
      </c>
      <c r="D144" s="3">
        <f t="shared" si="45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46"/>
        <v>5049.2714566156255</v>
      </c>
    </row>
    <row r="145" spans="1:22" ht="24" customHeight="1" x14ac:dyDescent="0.3">
      <c r="A145" s="46" t="s">
        <v>1059</v>
      </c>
      <c r="B145" s="49" t="s">
        <v>476</v>
      </c>
      <c r="C145" s="2">
        <f t="shared" si="44"/>
        <v>1313592.3500000001</v>
      </c>
      <c r="D145" s="3">
        <f t="shared" si="45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46"/>
        <v>4497.1620751341679</v>
      </c>
    </row>
    <row r="146" spans="1:22" ht="24" customHeight="1" x14ac:dyDescent="0.3">
      <c r="A146" s="46" t="s">
        <v>1060</v>
      </c>
      <c r="B146" s="49" t="s">
        <v>477</v>
      </c>
      <c r="C146" s="2">
        <f t="shared" si="44"/>
        <v>1315989.95</v>
      </c>
      <c r="D146" s="3">
        <f t="shared" si="45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46"/>
        <v>4513.8150537634401</v>
      </c>
    </row>
    <row r="147" spans="1:22" ht="24" customHeight="1" x14ac:dyDescent="0.3">
      <c r="A147" s="46" t="s">
        <v>1061</v>
      </c>
      <c r="B147" s="49" t="s">
        <v>417</v>
      </c>
      <c r="C147" s="2">
        <f t="shared" si="44"/>
        <v>58699.22</v>
      </c>
      <c r="D147" s="3">
        <f t="shared" si="45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46"/>
        <v>#DIV/0!</v>
      </c>
    </row>
    <row r="148" spans="1:22" ht="24" customHeight="1" x14ac:dyDescent="0.3">
      <c r="A148" s="46" t="s">
        <v>1062</v>
      </c>
      <c r="B148" s="49" t="s">
        <v>418</v>
      </c>
      <c r="C148" s="2">
        <f t="shared" si="44"/>
        <v>44647.56</v>
      </c>
      <c r="D148" s="3">
        <f t="shared" si="45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46"/>
        <v>#DIV/0!</v>
      </c>
    </row>
    <row r="149" spans="1:22" ht="24" customHeight="1" x14ac:dyDescent="0.3">
      <c r="A149" s="46" t="s">
        <v>1063</v>
      </c>
      <c r="B149" s="49" t="s">
        <v>375</v>
      </c>
      <c r="C149" s="2">
        <f t="shared" si="44"/>
        <v>47629.84</v>
      </c>
      <c r="D149" s="3">
        <f t="shared" si="45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46"/>
        <v>#DIV/0!</v>
      </c>
    </row>
    <row r="150" spans="1:22" ht="24" customHeight="1" x14ac:dyDescent="0.3">
      <c r="A150" s="46" t="s">
        <v>1064</v>
      </c>
      <c r="B150" s="49" t="s">
        <v>655</v>
      </c>
      <c r="C150" s="2">
        <f t="shared" si="44"/>
        <v>46183.66</v>
      </c>
      <c r="D150" s="3">
        <f t="shared" si="45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46"/>
        <v>#DIV/0!</v>
      </c>
    </row>
    <row r="151" spans="1:22" ht="24" customHeight="1" x14ac:dyDescent="0.3">
      <c r="A151" s="46" t="s">
        <v>1065</v>
      </c>
      <c r="B151" s="49" t="s">
        <v>426</v>
      </c>
      <c r="C151" s="2">
        <f t="shared" si="44"/>
        <v>2465982.14</v>
      </c>
      <c r="D151" s="3">
        <f t="shared" si="45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46"/>
        <v>#DIV/0!</v>
      </c>
    </row>
    <row r="152" spans="1:22" ht="24" customHeight="1" x14ac:dyDescent="0.3">
      <c r="A152" s="46" t="s">
        <v>1066</v>
      </c>
      <c r="B152" s="49" t="s">
        <v>440</v>
      </c>
      <c r="C152" s="2">
        <f t="shared" si="44"/>
        <v>2191313.1800000002</v>
      </c>
      <c r="D152" s="3">
        <f t="shared" si="45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46"/>
        <v>#DIV/0!</v>
      </c>
    </row>
    <row r="153" spans="1:22" ht="24" customHeight="1" x14ac:dyDescent="0.3">
      <c r="A153" s="46" t="s">
        <v>1067</v>
      </c>
      <c r="B153" s="54" t="s">
        <v>367</v>
      </c>
      <c r="C153" s="2">
        <f t="shared" ref="C153:C184" si="47">D153+L153+N153+P153+R153+S153+T153+U153</f>
        <v>18021469.080000002</v>
      </c>
      <c r="D153" s="3">
        <f t="shared" ref="D153:D184" si="48">SUM(E153:J153)</f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ref="V153:V184" si="49">N153/M153</f>
        <v>#DIV/0!</v>
      </c>
    </row>
    <row r="154" spans="1:22" ht="24" customHeight="1" x14ac:dyDescent="0.3">
      <c r="A154" s="46" t="s">
        <v>1068</v>
      </c>
      <c r="B154" s="55" t="s">
        <v>863</v>
      </c>
      <c r="C154" s="2">
        <f t="shared" si="47"/>
        <v>11052597.710000001</v>
      </c>
      <c r="D154" s="3">
        <f t="shared" si="48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49"/>
        <v>5271.9676259890675</v>
      </c>
    </row>
    <row r="155" spans="1:22" ht="24" customHeight="1" x14ac:dyDescent="0.3">
      <c r="A155" s="46" t="s">
        <v>1069</v>
      </c>
      <c r="B155" s="55" t="s">
        <v>865</v>
      </c>
      <c r="C155" s="2">
        <f t="shared" si="47"/>
        <v>4233066</v>
      </c>
      <c r="D155" s="3">
        <f t="shared" si="48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49"/>
        <v>5298.8277008310251</v>
      </c>
    </row>
    <row r="156" spans="1:22" ht="24" customHeight="1" x14ac:dyDescent="0.3">
      <c r="A156" s="46" t="s">
        <v>1070</v>
      </c>
      <c r="B156" s="54" t="s">
        <v>430</v>
      </c>
      <c r="C156" s="2">
        <f t="shared" si="47"/>
        <v>5449604.25</v>
      </c>
      <c r="D156" s="3">
        <f t="shared" si="48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49"/>
        <v>4592.1469103190002</v>
      </c>
    </row>
    <row r="157" spans="1:22" ht="24" customHeight="1" x14ac:dyDescent="0.3">
      <c r="A157" s="46" t="s">
        <v>1071</v>
      </c>
      <c r="B157" s="54" t="s">
        <v>407</v>
      </c>
      <c r="C157" s="2">
        <f t="shared" si="47"/>
        <v>57604.23</v>
      </c>
      <c r="D157" s="3">
        <f t="shared" si="48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49"/>
        <v>#DIV/0!</v>
      </c>
    </row>
    <row r="158" spans="1:22" ht="24" customHeight="1" x14ac:dyDescent="0.3">
      <c r="A158" s="46" t="s">
        <v>1072</v>
      </c>
      <c r="B158" s="54" t="s">
        <v>411</v>
      </c>
      <c r="C158" s="2">
        <f t="shared" si="47"/>
        <v>57288.18</v>
      </c>
      <c r="D158" s="3">
        <f t="shared" si="48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49"/>
        <v>#DIV/0!</v>
      </c>
    </row>
    <row r="159" spans="1:22" ht="24" customHeight="1" x14ac:dyDescent="0.3">
      <c r="A159" s="46" t="s">
        <v>1073</v>
      </c>
      <c r="B159" s="54" t="s">
        <v>441</v>
      </c>
      <c r="C159" s="2">
        <f t="shared" si="47"/>
        <v>47015.32</v>
      </c>
      <c r="D159" s="3">
        <f t="shared" si="48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49"/>
        <v>#DIV/0!</v>
      </c>
    </row>
    <row r="160" spans="1:22" ht="24" customHeight="1" x14ac:dyDescent="0.3">
      <c r="A160" s="46" t="s">
        <v>1074</v>
      </c>
      <c r="B160" s="49" t="s">
        <v>391</v>
      </c>
      <c r="C160" s="2">
        <f t="shared" si="47"/>
        <v>43169.63</v>
      </c>
      <c r="D160" s="3">
        <f t="shared" si="48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49"/>
        <v>#DIV/0!</v>
      </c>
    </row>
    <row r="161" spans="1:22" ht="24" customHeight="1" x14ac:dyDescent="0.3">
      <c r="A161" s="46" t="s">
        <v>1075</v>
      </c>
      <c r="B161" s="49" t="s">
        <v>392</v>
      </c>
      <c r="C161" s="2">
        <f t="shared" si="47"/>
        <v>44381.3</v>
      </c>
      <c r="D161" s="3">
        <f t="shared" si="48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49"/>
        <v>#DIV/0!</v>
      </c>
    </row>
    <row r="162" spans="1:22" ht="24" customHeight="1" x14ac:dyDescent="0.3">
      <c r="A162" s="46" t="s">
        <v>1076</v>
      </c>
      <c r="B162" s="49" t="s">
        <v>393</v>
      </c>
      <c r="C162" s="2">
        <f t="shared" si="47"/>
        <v>42168.68</v>
      </c>
      <c r="D162" s="3">
        <f t="shared" si="48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49"/>
        <v>#DIV/0!</v>
      </c>
    </row>
    <row r="163" spans="1:22" ht="24" customHeight="1" x14ac:dyDescent="0.3">
      <c r="A163" s="46" t="s">
        <v>1077</v>
      </c>
      <c r="B163" s="49" t="s">
        <v>390</v>
      </c>
      <c r="C163" s="2">
        <f t="shared" si="47"/>
        <v>44381.3</v>
      </c>
      <c r="D163" s="3">
        <f t="shared" si="48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49"/>
        <v>#DIV/0!</v>
      </c>
    </row>
    <row r="164" spans="1:22" ht="24" customHeight="1" x14ac:dyDescent="0.3">
      <c r="A164" s="46" t="s">
        <v>1078</v>
      </c>
      <c r="B164" s="49" t="s">
        <v>481</v>
      </c>
      <c r="C164" s="2">
        <f t="shared" si="47"/>
        <v>24442991.599999998</v>
      </c>
      <c r="D164" s="3">
        <f t="shared" si="48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49"/>
        <v>2949.1103359971739</v>
      </c>
    </row>
    <row r="165" spans="1:22" ht="24" customHeight="1" x14ac:dyDescent="0.3">
      <c r="A165" s="46" t="s">
        <v>1079</v>
      </c>
      <c r="B165" s="55" t="s">
        <v>881</v>
      </c>
      <c r="C165" s="2">
        <f t="shared" si="47"/>
        <v>1845974.65</v>
      </c>
      <c r="D165" s="3">
        <f t="shared" si="48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49"/>
        <v>4651.1755102040815</v>
      </c>
    </row>
    <row r="166" spans="1:22" ht="24" customHeight="1" x14ac:dyDescent="0.3">
      <c r="A166" s="46" t="s">
        <v>1080</v>
      </c>
      <c r="B166" s="49" t="s">
        <v>442</v>
      </c>
      <c r="C166" s="2">
        <f t="shared" si="47"/>
        <v>60640.68</v>
      </c>
      <c r="D166" s="3">
        <f t="shared" si="48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49"/>
        <v>#DIV/0!</v>
      </c>
    </row>
    <row r="167" spans="1:22" ht="24" customHeight="1" x14ac:dyDescent="0.3">
      <c r="A167" s="46" t="s">
        <v>1081</v>
      </c>
      <c r="B167" s="49" t="s">
        <v>431</v>
      </c>
      <c r="C167" s="2">
        <f t="shared" si="47"/>
        <v>21399145.73</v>
      </c>
      <c r="D167" s="3">
        <f t="shared" si="48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5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49"/>
        <v>#DIV/0!</v>
      </c>
    </row>
    <row r="168" spans="1:22" ht="24" customHeight="1" x14ac:dyDescent="0.3">
      <c r="A168" s="46" t="s">
        <v>1082</v>
      </c>
      <c r="B168" s="49" t="s">
        <v>420</v>
      </c>
      <c r="C168" s="2">
        <f t="shared" si="47"/>
        <v>128639.99</v>
      </c>
      <c r="D168" s="3">
        <f t="shared" si="48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5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49"/>
        <v>#DIV/0!</v>
      </c>
    </row>
    <row r="169" spans="1:22" ht="24" customHeight="1" x14ac:dyDescent="0.3">
      <c r="A169" s="46" t="s">
        <v>972</v>
      </c>
      <c r="B169" s="49" t="s">
        <v>412</v>
      </c>
      <c r="C169" s="2">
        <f t="shared" si="47"/>
        <v>200000</v>
      </c>
      <c r="D169" s="3">
        <f t="shared" si="48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5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49"/>
        <v>#DIV/0!</v>
      </c>
    </row>
    <row r="170" spans="1:22" ht="24" customHeight="1" x14ac:dyDescent="0.3">
      <c r="A170" s="46" t="s">
        <v>973</v>
      </c>
      <c r="B170" s="49" t="s">
        <v>399</v>
      </c>
      <c r="C170" s="2">
        <f t="shared" si="47"/>
        <v>2315708.7499999995</v>
      </c>
      <c r="D170" s="3">
        <f t="shared" si="48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5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49"/>
        <v>#DIV/0!</v>
      </c>
    </row>
    <row r="171" spans="1:22" ht="24" customHeight="1" x14ac:dyDescent="0.3">
      <c r="A171" s="46" t="s">
        <v>1083</v>
      </c>
      <c r="B171" s="49" t="s">
        <v>413</v>
      </c>
      <c r="C171" s="2">
        <f t="shared" si="47"/>
        <v>200000</v>
      </c>
      <c r="D171" s="3">
        <f t="shared" si="48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5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49"/>
        <v>#DIV/0!</v>
      </c>
    </row>
    <row r="172" spans="1:22" ht="24" customHeight="1" x14ac:dyDescent="0.3">
      <c r="A172" s="46" t="s">
        <v>974</v>
      </c>
      <c r="B172" s="49" t="s">
        <v>419</v>
      </c>
      <c r="C172" s="2">
        <f t="shared" si="47"/>
        <v>128923.69</v>
      </c>
      <c r="D172" s="3">
        <f t="shared" si="48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5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49"/>
        <v>#DIV/0!</v>
      </c>
    </row>
    <row r="173" spans="1:22" ht="24" customHeight="1" x14ac:dyDescent="0.3">
      <c r="A173" s="46" t="s">
        <v>975</v>
      </c>
      <c r="B173" s="49" t="s">
        <v>456</v>
      </c>
      <c r="C173" s="2">
        <f t="shared" si="47"/>
        <v>6825610.0200000005</v>
      </c>
      <c r="D173" s="3">
        <f t="shared" si="48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49"/>
        <v>#DIV/0!</v>
      </c>
    </row>
    <row r="174" spans="1:22" ht="24" customHeight="1" x14ac:dyDescent="0.3">
      <c r="A174" s="46" t="s">
        <v>1084</v>
      </c>
      <c r="B174" s="49" t="s">
        <v>379</v>
      </c>
      <c r="C174" s="2">
        <f t="shared" si="47"/>
        <v>200000</v>
      </c>
      <c r="D174" s="3">
        <f t="shared" si="48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49"/>
        <v>#DIV/0!</v>
      </c>
    </row>
    <row r="175" spans="1:22" ht="24" customHeight="1" x14ac:dyDescent="0.3">
      <c r="A175" s="46" t="s">
        <v>1085</v>
      </c>
      <c r="B175" s="54" t="s">
        <v>422</v>
      </c>
      <c r="C175" s="2">
        <f t="shared" si="47"/>
        <v>200000</v>
      </c>
      <c r="D175" s="3">
        <f t="shared" si="48"/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si="49"/>
        <v>#DIV/0!</v>
      </c>
    </row>
    <row r="176" spans="1:22" ht="24" customHeight="1" x14ac:dyDescent="0.3">
      <c r="A176" s="46" t="s">
        <v>1086</v>
      </c>
      <c r="B176" s="49" t="s">
        <v>457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49"/>
        <v>4537.3351607276354</v>
      </c>
    </row>
    <row r="177" spans="1:22" ht="24" customHeight="1" x14ac:dyDescent="0.3">
      <c r="A177" s="46" t="s">
        <v>1087</v>
      </c>
      <c r="B177" s="49" t="s">
        <v>443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49"/>
        <v>#DIV/0!</v>
      </c>
    </row>
    <row r="178" spans="1:22" ht="24" customHeight="1" x14ac:dyDescent="0.3">
      <c r="A178" s="46" t="s">
        <v>1088</v>
      </c>
      <c r="B178" s="49" t="s">
        <v>444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49"/>
        <v>#DIV/0!</v>
      </c>
    </row>
    <row r="179" spans="1:22" ht="24" customHeight="1" x14ac:dyDescent="0.3">
      <c r="A179" s="46" t="s">
        <v>1089</v>
      </c>
      <c r="B179" s="54" t="s">
        <v>427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49"/>
        <v>4332.3694015748033</v>
      </c>
    </row>
    <row r="180" spans="1:22" ht="24" customHeight="1" x14ac:dyDescent="0.3">
      <c r="A180" s="46" t="s">
        <v>1090</v>
      </c>
      <c r="B180" s="49" t="s">
        <v>400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49"/>
        <v>#DIV/0!</v>
      </c>
    </row>
    <row r="181" spans="1:22" ht="24" customHeight="1" x14ac:dyDescent="0.3">
      <c r="A181" s="46" t="s">
        <v>1091</v>
      </c>
      <c r="B181" s="49" t="s">
        <v>458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49"/>
        <v>#DIV/0!</v>
      </c>
    </row>
    <row r="182" spans="1:22" ht="24" customHeight="1" x14ac:dyDescent="0.3">
      <c r="A182" s="46" t="s">
        <v>1092</v>
      </c>
      <c r="B182" s="49" t="s">
        <v>428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49"/>
        <v>#DIV/0!</v>
      </c>
    </row>
    <row r="183" spans="1:22" ht="24" customHeight="1" x14ac:dyDescent="0.3">
      <c r="A183" s="46" t="s">
        <v>976</v>
      </c>
      <c r="B183" s="54" t="s">
        <v>459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49"/>
        <v>5115.7037556942187</v>
      </c>
    </row>
    <row r="184" spans="1:22" ht="24" customHeight="1" x14ac:dyDescent="0.3">
      <c r="A184" s="46" t="s">
        <v>1093</v>
      </c>
      <c r="B184" s="55" t="s">
        <v>870</v>
      </c>
      <c r="C184" s="2">
        <f t="shared" si="47"/>
        <v>2176312.8000000003</v>
      </c>
      <c r="D184" s="3">
        <f t="shared" si="48"/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2">
        <v>0</v>
      </c>
      <c r="S184" s="3">
        <v>0</v>
      </c>
      <c r="T184" s="3">
        <v>0</v>
      </c>
      <c r="U184" s="3">
        <v>0</v>
      </c>
      <c r="V184" s="6" t="e">
        <f t="shared" si="49"/>
        <v>#DIV/0!</v>
      </c>
    </row>
    <row r="185" spans="1:22" ht="24" customHeight="1" x14ac:dyDescent="0.3">
      <c r="A185" s="46" t="s">
        <v>1094</v>
      </c>
      <c r="B185" s="54" t="s">
        <v>373</v>
      </c>
      <c r="C185" s="2">
        <f t="shared" ref="C185:C216" si="51">D185+L185+N185+P185+R185+S185+T185+U185</f>
        <v>78903.490000000005</v>
      </c>
      <c r="D185" s="3">
        <f t="shared" ref="D185:D216" si="52">SUM(E185:J185)</f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ref="V185:V216" si="53">N185/M185</f>
        <v>#DIV/0!</v>
      </c>
    </row>
    <row r="186" spans="1:22" ht="24" customHeight="1" x14ac:dyDescent="0.3">
      <c r="A186" s="46" t="s">
        <v>1095</v>
      </c>
      <c r="B186" s="49" t="s">
        <v>368</v>
      </c>
      <c r="C186" s="2">
        <f t="shared" si="51"/>
        <v>65980.28</v>
      </c>
      <c r="D186" s="3">
        <f t="shared" si="5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53"/>
        <v>#DIV/0!</v>
      </c>
    </row>
    <row r="187" spans="1:22" ht="24" customHeight="1" x14ac:dyDescent="0.3">
      <c r="A187" s="46" t="s">
        <v>1096</v>
      </c>
      <c r="B187" s="49" t="s">
        <v>381</v>
      </c>
      <c r="C187" s="2">
        <f t="shared" si="51"/>
        <v>118539.22</v>
      </c>
      <c r="D187" s="3">
        <f t="shared" si="52"/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4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 t="shared" si="53"/>
        <v>#DIV/0!</v>
      </c>
    </row>
    <row r="188" spans="1:22" ht="24" customHeight="1" x14ac:dyDescent="0.3">
      <c r="A188" s="46" t="s">
        <v>1097</v>
      </c>
      <c r="B188" s="49" t="s">
        <v>480</v>
      </c>
      <c r="C188" s="2">
        <f t="shared" si="51"/>
        <v>11697685.68</v>
      </c>
      <c r="D188" s="3">
        <f t="shared" si="5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4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53"/>
        <v>4614.2002518597983</v>
      </c>
    </row>
    <row r="189" spans="1:22" ht="24" customHeight="1" x14ac:dyDescent="0.3">
      <c r="A189" s="46" t="s">
        <v>1098</v>
      </c>
      <c r="B189" s="49" t="s">
        <v>868</v>
      </c>
      <c r="C189" s="2">
        <f t="shared" si="51"/>
        <v>367317.96</v>
      </c>
      <c r="D189" s="3">
        <f t="shared" si="5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4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53"/>
        <v>#DIV/0!</v>
      </c>
    </row>
    <row r="190" spans="1:22" ht="24" customHeight="1" x14ac:dyDescent="0.3">
      <c r="A190" s="46" t="s">
        <v>1099</v>
      </c>
      <c r="B190" s="49" t="s">
        <v>889</v>
      </c>
      <c r="C190" s="2">
        <f t="shared" si="51"/>
        <v>13956660.52</v>
      </c>
      <c r="D190" s="3">
        <f t="shared" si="5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4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53"/>
        <v>#DIV/0!</v>
      </c>
    </row>
    <row r="191" spans="1:22" ht="24" customHeight="1" x14ac:dyDescent="0.3">
      <c r="A191" s="46" t="s">
        <v>1100</v>
      </c>
      <c r="B191" s="49" t="s">
        <v>376</v>
      </c>
      <c r="C191" s="2">
        <f t="shared" si="51"/>
        <v>200000</v>
      </c>
      <c r="D191" s="3">
        <f t="shared" si="5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4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53"/>
        <v>#DIV/0!</v>
      </c>
    </row>
    <row r="192" spans="1:22" ht="24" customHeight="1" x14ac:dyDescent="0.3">
      <c r="A192" s="46" t="s">
        <v>1101</v>
      </c>
      <c r="B192" s="49" t="s">
        <v>371</v>
      </c>
      <c r="C192" s="2">
        <f t="shared" si="51"/>
        <v>186810.04</v>
      </c>
      <c r="D192" s="3">
        <f t="shared" si="5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4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53"/>
        <v>#DIV/0!</v>
      </c>
    </row>
    <row r="193" spans="1:22" ht="24" customHeight="1" x14ac:dyDescent="0.3">
      <c r="A193" s="46" t="s">
        <v>1102</v>
      </c>
      <c r="B193" s="55" t="s">
        <v>864</v>
      </c>
      <c r="C193" s="2">
        <f t="shared" si="51"/>
        <v>4548983.59</v>
      </c>
      <c r="D193" s="3">
        <f t="shared" si="5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32">
        <v>1970674.32</v>
      </c>
      <c r="S193" s="3">
        <v>0</v>
      </c>
      <c r="T193" s="3">
        <v>0</v>
      </c>
      <c r="U193" s="3">
        <v>0</v>
      </c>
      <c r="V193" s="6">
        <f t="shared" si="53"/>
        <v>3641.6797598870057</v>
      </c>
    </row>
    <row r="194" spans="1:22" ht="24" customHeight="1" x14ac:dyDescent="0.3">
      <c r="A194" s="46" t="s">
        <v>1103</v>
      </c>
      <c r="B194" s="49" t="s">
        <v>483</v>
      </c>
      <c r="C194" s="2">
        <f t="shared" si="51"/>
        <v>4309443.47</v>
      </c>
      <c r="D194" s="3">
        <f t="shared" si="5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53"/>
        <v>#DIV/0!</v>
      </c>
    </row>
    <row r="195" spans="1:22" ht="25.2" customHeight="1" x14ac:dyDescent="0.3">
      <c r="A195" s="46" t="s">
        <v>1104</v>
      </c>
      <c r="B195" s="49" t="s">
        <v>445</v>
      </c>
      <c r="C195" s="2">
        <f t="shared" si="51"/>
        <v>80998.289999999994</v>
      </c>
      <c r="D195" s="3">
        <f t="shared" si="5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53"/>
        <v>#DIV/0!</v>
      </c>
    </row>
    <row r="196" spans="1:22" ht="25.2" customHeight="1" x14ac:dyDescent="0.3">
      <c r="A196" s="46" t="s">
        <v>1105</v>
      </c>
      <c r="B196" s="49" t="s">
        <v>890</v>
      </c>
      <c r="C196" s="2">
        <f t="shared" si="51"/>
        <v>268000</v>
      </c>
      <c r="D196" s="3">
        <f t="shared" si="5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3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2">
        <v>0</v>
      </c>
      <c r="T196" s="32">
        <v>0</v>
      </c>
      <c r="U196" s="32">
        <v>268000</v>
      </c>
      <c r="V196" s="6" t="e">
        <f t="shared" si="53"/>
        <v>#DIV/0!</v>
      </c>
    </row>
    <row r="197" spans="1:22" ht="25.2" customHeight="1" x14ac:dyDescent="0.3">
      <c r="A197" s="46" t="s">
        <v>1106</v>
      </c>
      <c r="B197" s="49" t="s">
        <v>387</v>
      </c>
      <c r="C197" s="2">
        <f t="shared" si="51"/>
        <v>200000</v>
      </c>
      <c r="D197" s="3">
        <f t="shared" si="5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53"/>
        <v>#DIV/0!</v>
      </c>
    </row>
    <row r="198" spans="1:22" ht="25.2" customHeight="1" x14ac:dyDescent="0.3">
      <c r="A198" s="46" t="s">
        <v>1107</v>
      </c>
      <c r="B198" s="55" t="s">
        <v>855</v>
      </c>
      <c r="C198" s="2">
        <f t="shared" si="51"/>
        <v>549889.57999999996</v>
      </c>
      <c r="D198" s="3">
        <f t="shared" si="52"/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2">
        <f>Q198*3000</f>
        <v>0</v>
      </c>
      <c r="S198" s="3">
        <v>0</v>
      </c>
      <c r="T198" s="3">
        <v>0</v>
      </c>
      <c r="U198" s="3">
        <v>549889.57999999996</v>
      </c>
      <c r="V198" s="6" t="e">
        <f t="shared" si="53"/>
        <v>#DIV/0!</v>
      </c>
    </row>
    <row r="199" spans="1:22" ht="25.2" customHeight="1" x14ac:dyDescent="0.3">
      <c r="A199" s="46" t="s">
        <v>1108</v>
      </c>
      <c r="B199" s="49" t="s">
        <v>461</v>
      </c>
      <c r="C199" s="2">
        <f t="shared" si="51"/>
        <v>2317624.1</v>
      </c>
      <c r="D199" s="3">
        <f t="shared" si="5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53"/>
        <v>4978.1390728476817</v>
      </c>
    </row>
    <row r="200" spans="1:22" ht="25.2" customHeight="1" x14ac:dyDescent="0.3">
      <c r="A200" s="46" t="s">
        <v>1109</v>
      </c>
      <c r="B200" s="49" t="s">
        <v>462</v>
      </c>
      <c r="C200" s="2">
        <f t="shared" si="51"/>
        <v>1057534.19</v>
      </c>
      <c r="D200" s="3">
        <f t="shared" si="5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53"/>
        <v>4026.9552695092516</v>
      </c>
    </row>
    <row r="201" spans="1:22" ht="25.2" customHeight="1" x14ac:dyDescent="0.3">
      <c r="A201" s="46" t="s">
        <v>1110</v>
      </c>
      <c r="B201" s="49" t="s">
        <v>478</v>
      </c>
      <c r="C201" s="2">
        <f t="shared" si="51"/>
        <v>3327672.9299999997</v>
      </c>
      <c r="D201" s="3">
        <f t="shared" si="5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53"/>
        <v>5134.7432423917835</v>
      </c>
    </row>
    <row r="202" spans="1:22" ht="25.2" customHeight="1" x14ac:dyDescent="0.3">
      <c r="A202" s="46" t="s">
        <v>1111</v>
      </c>
      <c r="B202" s="49" t="s">
        <v>408</v>
      </c>
      <c r="C202" s="2">
        <f t="shared" si="51"/>
        <v>2462464.0900000003</v>
      </c>
      <c r="D202" s="3">
        <f t="shared" si="5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53"/>
        <v>#DIV/0!</v>
      </c>
    </row>
    <row r="203" spans="1:22" ht="25.2" customHeight="1" x14ac:dyDescent="0.3">
      <c r="A203" s="46" t="s">
        <v>1112</v>
      </c>
      <c r="B203" s="55" t="s">
        <v>891</v>
      </c>
      <c r="C203" s="2">
        <f t="shared" si="51"/>
        <v>117294.52</v>
      </c>
      <c r="D203" s="3">
        <f t="shared" si="5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53"/>
        <v>#DIV/0!</v>
      </c>
    </row>
    <row r="204" spans="1:22" ht="25.2" customHeight="1" x14ac:dyDescent="0.3">
      <c r="A204" s="46" t="s">
        <v>1113</v>
      </c>
      <c r="B204" s="49" t="s">
        <v>397</v>
      </c>
      <c r="C204" s="2">
        <f t="shared" si="51"/>
        <v>58789.59</v>
      </c>
      <c r="D204" s="3">
        <f t="shared" si="5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53"/>
        <v>#DIV/0!</v>
      </c>
    </row>
    <row r="205" spans="1:22" ht="25.2" customHeight="1" x14ac:dyDescent="0.3">
      <c r="A205" s="46" t="s">
        <v>977</v>
      </c>
      <c r="B205" s="49" t="s">
        <v>382</v>
      </c>
      <c r="C205" s="2">
        <f t="shared" si="51"/>
        <v>2630727.2000000002</v>
      </c>
      <c r="D205" s="3">
        <f t="shared" si="5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53"/>
        <v>#DIV/0!</v>
      </c>
    </row>
    <row r="206" spans="1:22" ht="25.2" customHeight="1" x14ac:dyDescent="0.3">
      <c r="A206" s="46" t="s">
        <v>1114</v>
      </c>
      <c r="B206" s="49" t="s">
        <v>479</v>
      </c>
      <c r="C206" s="2">
        <f t="shared" si="51"/>
        <v>20198852.490000002</v>
      </c>
      <c r="D206" s="3">
        <f t="shared" si="5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53"/>
        <v>4840.0854947869029</v>
      </c>
    </row>
    <row r="207" spans="1:22" ht="25.2" customHeight="1" x14ac:dyDescent="0.3">
      <c r="A207" s="46" t="s">
        <v>1115</v>
      </c>
      <c r="B207" s="49" t="s">
        <v>791</v>
      </c>
      <c r="C207" s="2">
        <f t="shared" si="51"/>
        <v>3611336.3299999996</v>
      </c>
      <c r="D207" s="3">
        <f t="shared" si="5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32">
        <v>0</v>
      </c>
      <c r="N207" s="32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53"/>
        <v>#DIV/0!</v>
      </c>
    </row>
    <row r="208" spans="1:22" ht="25.2" customHeight="1" x14ac:dyDescent="0.3">
      <c r="A208" s="46" t="s">
        <v>1116</v>
      </c>
      <c r="B208" s="49" t="s">
        <v>389</v>
      </c>
      <c r="C208" s="2">
        <f t="shared" si="51"/>
        <v>2281426.62</v>
      </c>
      <c r="D208" s="3">
        <f t="shared" si="5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53"/>
        <v>#DIV/0!</v>
      </c>
    </row>
    <row r="209" spans="1:22" ht="25.2" customHeight="1" x14ac:dyDescent="0.3">
      <c r="A209" s="46" t="s">
        <v>1117</v>
      </c>
      <c r="B209" s="55" t="s">
        <v>847</v>
      </c>
      <c r="C209" s="2">
        <f t="shared" si="51"/>
        <v>3226159.2</v>
      </c>
      <c r="D209" s="3">
        <f t="shared" si="5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53"/>
        <v>#DIV/0!</v>
      </c>
    </row>
    <row r="210" spans="1:22" ht="25.2" customHeight="1" x14ac:dyDescent="0.3">
      <c r="A210" s="46" t="s">
        <v>1118</v>
      </c>
      <c r="B210" s="55" t="s">
        <v>869</v>
      </c>
      <c r="C210" s="2">
        <f t="shared" si="51"/>
        <v>3368829.6</v>
      </c>
      <c r="D210" s="3">
        <f t="shared" si="52"/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53"/>
        <v>2177.779961342289</v>
      </c>
    </row>
    <row r="211" spans="1:22" ht="25.2" customHeight="1" x14ac:dyDescent="0.3">
      <c r="A211" s="46" t="s">
        <v>1119</v>
      </c>
      <c r="B211" s="55" t="s">
        <v>867</v>
      </c>
      <c r="C211" s="2">
        <f t="shared" si="51"/>
        <v>4094363</v>
      </c>
      <c r="D211" s="3">
        <f t="shared" si="52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53"/>
        <v>#DIV/0!</v>
      </c>
    </row>
    <row r="212" spans="1:22" ht="25.2" customHeight="1" x14ac:dyDescent="0.3">
      <c r="A212" s="46" t="s">
        <v>1120</v>
      </c>
      <c r="B212" s="49" t="s">
        <v>423</v>
      </c>
      <c r="C212" s="2">
        <f t="shared" si="51"/>
        <v>338823.02999999997</v>
      </c>
      <c r="D212" s="3">
        <f t="shared" si="52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si="53"/>
        <v>#DIV/0!</v>
      </c>
    </row>
    <row r="213" spans="1:22" ht="25.2" customHeight="1" x14ac:dyDescent="0.3">
      <c r="A213" s="46" t="s">
        <v>1121</v>
      </c>
      <c r="B213" s="49" t="s">
        <v>429</v>
      </c>
      <c r="C213" s="2">
        <f t="shared" si="51"/>
        <v>1100401.56</v>
      </c>
      <c r="D213" s="3">
        <f t="shared" si="52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53"/>
        <v>4021.7486725663721</v>
      </c>
    </row>
    <row r="214" spans="1:22" ht="25.2" customHeight="1" x14ac:dyDescent="0.3">
      <c r="A214" s="46" t="s">
        <v>1122</v>
      </c>
      <c r="B214" s="49" t="s">
        <v>433</v>
      </c>
      <c r="C214" s="2">
        <f t="shared" si="51"/>
        <v>99358.51</v>
      </c>
      <c r="D214" s="3">
        <f t="shared" si="52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53"/>
        <v>#DIV/0!</v>
      </c>
    </row>
    <row r="215" spans="1:22" ht="25.2" customHeight="1" x14ac:dyDescent="0.3">
      <c r="A215" s="46" t="s">
        <v>1123</v>
      </c>
      <c r="B215" s="49" t="s">
        <v>414</v>
      </c>
      <c r="C215" s="2">
        <f t="shared" si="51"/>
        <v>104881.83</v>
      </c>
      <c r="D215" s="3">
        <f t="shared" si="52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53"/>
        <v>#DIV/0!</v>
      </c>
    </row>
    <row r="216" spans="1:22" ht="25.2" customHeight="1" x14ac:dyDescent="0.3">
      <c r="A216" s="46" t="s">
        <v>1124</v>
      </c>
      <c r="B216" s="54" t="s">
        <v>434</v>
      </c>
      <c r="C216" s="2">
        <f t="shared" si="51"/>
        <v>6160573.5499999998</v>
      </c>
      <c r="D216" s="3">
        <f t="shared" si="52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53"/>
        <v>5034.6326649471666</v>
      </c>
    </row>
    <row r="217" spans="1:22" ht="25.2" customHeight="1" x14ac:dyDescent="0.3">
      <c r="A217" s="46" t="s">
        <v>1125</v>
      </c>
      <c r="B217" s="49" t="s">
        <v>463</v>
      </c>
      <c r="C217" s="2">
        <f t="shared" ref="C217:C236" si="55">D217+L217+N217+P217+R217+S217+T217+U217</f>
        <v>3600310.75</v>
      </c>
      <c r="D217" s="3">
        <f t="shared" ref="D217:D236" si="56">SUM(E217:J217)</f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ref="V217:V236" si="57">N217/M217</f>
        <v>5101.9482407676651</v>
      </c>
    </row>
    <row r="218" spans="1:22" ht="25.2" customHeight="1" x14ac:dyDescent="0.3">
      <c r="A218" s="46" t="s">
        <v>978</v>
      </c>
      <c r="B218" s="49" t="s">
        <v>383</v>
      </c>
      <c r="C218" s="2">
        <f t="shared" si="55"/>
        <v>164909.60999999999</v>
      </c>
      <c r="D218" s="3">
        <f t="shared" si="5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57"/>
        <v>#DIV/0!</v>
      </c>
    </row>
    <row r="219" spans="1:22" ht="24" customHeight="1" x14ac:dyDescent="0.3">
      <c r="A219" s="46" t="s">
        <v>1126</v>
      </c>
      <c r="B219" s="49" t="s">
        <v>436</v>
      </c>
      <c r="C219" s="2">
        <f t="shared" si="55"/>
        <v>4921900.3999999994</v>
      </c>
      <c r="D219" s="3">
        <f t="shared" si="5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57"/>
        <v>#DIV/0!</v>
      </c>
    </row>
    <row r="220" spans="1:22" ht="24" customHeight="1" x14ac:dyDescent="0.3">
      <c r="A220" s="46" t="s">
        <v>1127</v>
      </c>
      <c r="B220" s="49" t="s">
        <v>447</v>
      </c>
      <c r="C220" s="2">
        <f t="shared" si="55"/>
        <v>12226422.870000001</v>
      </c>
      <c r="D220" s="3">
        <f t="shared" si="5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57"/>
        <v>5272.3918395748988</v>
      </c>
    </row>
    <row r="221" spans="1:22" ht="24" customHeight="1" x14ac:dyDescent="0.3">
      <c r="A221" s="46" t="s">
        <v>1128</v>
      </c>
      <c r="B221" s="54" t="s">
        <v>437</v>
      </c>
      <c r="C221" s="2">
        <f t="shared" si="55"/>
        <v>4823836.51</v>
      </c>
      <c r="D221" s="3">
        <f t="shared" si="5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57"/>
        <v>4896.4427320125133</v>
      </c>
    </row>
    <row r="222" spans="1:22" ht="24" customHeight="1" x14ac:dyDescent="0.3">
      <c r="A222" s="46" t="s">
        <v>1129</v>
      </c>
      <c r="B222" s="49" t="s">
        <v>448</v>
      </c>
      <c r="C222" s="2">
        <f t="shared" si="55"/>
        <v>54862.78</v>
      </c>
      <c r="D222" s="3">
        <f t="shared" si="5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57"/>
        <v>#DIV/0!</v>
      </c>
    </row>
    <row r="223" spans="1:22" ht="24" customHeight="1" x14ac:dyDescent="0.3">
      <c r="A223" s="46" t="s">
        <v>1130</v>
      </c>
      <c r="B223" s="49" t="s">
        <v>464</v>
      </c>
      <c r="C223" s="2">
        <f t="shared" si="55"/>
        <v>1824644.4600000002</v>
      </c>
      <c r="D223" s="3">
        <f t="shared" si="5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57"/>
        <v>4552.9635824742272</v>
      </c>
    </row>
    <row r="224" spans="1:22" ht="24" customHeight="1" x14ac:dyDescent="0.3">
      <c r="A224" s="46" t="s">
        <v>1131</v>
      </c>
      <c r="B224" s="49" t="s">
        <v>384</v>
      </c>
      <c r="C224" s="2">
        <f t="shared" si="55"/>
        <v>75456.38</v>
      </c>
      <c r="D224" s="3">
        <f t="shared" si="5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57"/>
        <v>#DIV/0!</v>
      </c>
    </row>
    <row r="225" spans="1:22" ht="24" customHeight="1" x14ac:dyDescent="0.3">
      <c r="A225" s="46" t="s">
        <v>979</v>
      </c>
      <c r="B225" s="49" t="s">
        <v>465</v>
      </c>
      <c r="C225" s="2">
        <f t="shared" si="55"/>
        <v>2965032.13</v>
      </c>
      <c r="D225" s="3">
        <f t="shared" si="5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57"/>
        <v>4881.4706849315071</v>
      </c>
    </row>
    <row r="226" spans="1:22" ht="24" customHeight="1" x14ac:dyDescent="0.3">
      <c r="A226" s="46" t="s">
        <v>980</v>
      </c>
      <c r="B226" s="49" t="s">
        <v>449</v>
      </c>
      <c r="C226" s="2">
        <f t="shared" si="55"/>
        <v>2904799.21</v>
      </c>
      <c r="D226" s="3">
        <f t="shared" si="5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57"/>
        <v>4778.2834680134674</v>
      </c>
    </row>
    <row r="227" spans="1:22" ht="24" customHeight="1" x14ac:dyDescent="0.3">
      <c r="A227" s="46" t="s">
        <v>1132</v>
      </c>
      <c r="B227" s="49" t="s">
        <v>366</v>
      </c>
      <c r="C227" s="2">
        <f t="shared" si="55"/>
        <v>2062847.55</v>
      </c>
      <c r="D227" s="3">
        <f t="shared" si="5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57"/>
        <v>#DIV/0!</v>
      </c>
    </row>
    <row r="228" spans="1:22" ht="24" customHeight="1" x14ac:dyDescent="0.3">
      <c r="A228" s="46" t="s">
        <v>1133</v>
      </c>
      <c r="B228" s="49" t="s">
        <v>438</v>
      </c>
      <c r="C228" s="2">
        <f t="shared" si="55"/>
        <v>72988.7</v>
      </c>
      <c r="D228" s="3">
        <f t="shared" si="5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57"/>
        <v>#DIV/0!</v>
      </c>
    </row>
    <row r="229" spans="1:22" ht="24" customHeight="1" x14ac:dyDescent="0.3">
      <c r="A229" s="46" t="s">
        <v>1134</v>
      </c>
      <c r="B229" s="49" t="s">
        <v>424</v>
      </c>
      <c r="C229" s="2">
        <f t="shared" si="55"/>
        <v>6267141.54</v>
      </c>
      <c r="D229" s="3">
        <f t="shared" si="5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57"/>
        <v>5230.0817686343744</v>
      </c>
    </row>
    <row r="230" spans="1:22" ht="24" customHeight="1" x14ac:dyDescent="0.3">
      <c r="A230" s="46" t="s">
        <v>1135</v>
      </c>
      <c r="B230" s="49" t="s">
        <v>450</v>
      </c>
      <c r="C230" s="2">
        <f t="shared" si="55"/>
        <v>3566948.55</v>
      </c>
      <c r="D230" s="3">
        <f t="shared" si="56"/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57"/>
        <v>5031.924877697842</v>
      </c>
    </row>
    <row r="231" spans="1:22" ht="24" customHeight="1" x14ac:dyDescent="0.3">
      <c r="A231" s="46" t="s">
        <v>1136</v>
      </c>
      <c r="B231" s="55" t="s">
        <v>844</v>
      </c>
      <c r="C231" s="2">
        <f t="shared" si="55"/>
        <v>5179580.74</v>
      </c>
      <c r="D231" s="3">
        <f t="shared" si="56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57"/>
        <v>4983.7368120300753</v>
      </c>
    </row>
    <row r="232" spans="1:22" ht="24" customHeight="1" x14ac:dyDescent="0.3">
      <c r="A232" s="46" t="s">
        <v>1137</v>
      </c>
      <c r="B232" s="49" t="s">
        <v>451</v>
      </c>
      <c r="C232" s="2">
        <f t="shared" si="55"/>
        <v>39357.33</v>
      </c>
      <c r="D232" s="3">
        <f t="shared" si="56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57"/>
        <v>#DIV/0!</v>
      </c>
    </row>
    <row r="233" spans="1:22" ht="24" customHeight="1" x14ac:dyDescent="0.3">
      <c r="A233" s="46" t="s">
        <v>1138</v>
      </c>
      <c r="B233" s="49" t="s">
        <v>466</v>
      </c>
      <c r="C233" s="2">
        <f t="shared" si="55"/>
        <v>1742990.48</v>
      </c>
      <c r="D233" s="3">
        <f t="shared" si="56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57"/>
        <v>4535.4692485985333</v>
      </c>
    </row>
    <row r="234" spans="1:22" ht="24" customHeight="1" x14ac:dyDescent="0.3">
      <c r="A234" s="46" t="s">
        <v>1139</v>
      </c>
      <c r="B234" s="49" t="s">
        <v>401</v>
      </c>
      <c r="C234" s="2">
        <f t="shared" si="55"/>
        <v>42605.66</v>
      </c>
      <c r="D234" s="3">
        <f t="shared" si="56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57"/>
        <v>#DIV/0!</v>
      </c>
    </row>
    <row r="235" spans="1:22" ht="24" customHeight="1" x14ac:dyDescent="0.3">
      <c r="A235" s="46" t="s">
        <v>981</v>
      </c>
      <c r="B235" s="49" t="s">
        <v>415</v>
      </c>
      <c r="C235" s="2">
        <f t="shared" si="55"/>
        <v>46635.76</v>
      </c>
      <c r="D235" s="3">
        <f t="shared" si="56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57"/>
        <v>#DIV/0!</v>
      </c>
    </row>
    <row r="236" spans="1:22" ht="24" customHeight="1" x14ac:dyDescent="0.3">
      <c r="A236" s="46" t="s">
        <v>1140</v>
      </c>
      <c r="B236" s="49" t="s">
        <v>416</v>
      </c>
      <c r="C236" s="2">
        <f t="shared" si="55"/>
        <v>2255774.0699999998</v>
      </c>
      <c r="D236" s="3">
        <f t="shared" si="5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57"/>
        <v>#DIV/0!</v>
      </c>
    </row>
    <row r="237" spans="1:22" ht="40.049999999999997" customHeight="1" x14ac:dyDescent="0.3">
      <c r="A237" s="45" t="s">
        <v>288</v>
      </c>
      <c r="B237" s="45"/>
      <c r="C237" s="2">
        <f t="shared" ref="C237:U237" si="58">SUM(C238:C241)</f>
        <v>2538146.2999999998</v>
      </c>
      <c r="D237" s="2">
        <f t="shared" si="58"/>
        <v>2538146.2999999998</v>
      </c>
      <c r="E237" s="2">
        <f t="shared" si="58"/>
        <v>0</v>
      </c>
      <c r="F237" s="2">
        <f t="shared" si="58"/>
        <v>1951709.6399999997</v>
      </c>
      <c r="G237" s="2">
        <f t="shared" si="58"/>
        <v>276757.42</v>
      </c>
      <c r="H237" s="2">
        <f t="shared" si="58"/>
        <v>0</v>
      </c>
      <c r="I237" s="2">
        <f t="shared" si="58"/>
        <v>309679.24</v>
      </c>
      <c r="J237" s="2">
        <f t="shared" si="58"/>
        <v>0</v>
      </c>
      <c r="K237" s="38">
        <f t="shared" si="58"/>
        <v>0</v>
      </c>
      <c r="L237" s="2">
        <f t="shared" si="58"/>
        <v>0</v>
      </c>
      <c r="M237" s="2">
        <f t="shared" si="58"/>
        <v>0</v>
      </c>
      <c r="N237" s="2">
        <f t="shared" si="58"/>
        <v>0</v>
      </c>
      <c r="O237" s="2">
        <f t="shared" si="58"/>
        <v>0</v>
      </c>
      <c r="P237" s="2">
        <f t="shared" si="58"/>
        <v>0</v>
      </c>
      <c r="Q237" s="2">
        <f t="shared" si="58"/>
        <v>0</v>
      </c>
      <c r="R237" s="2">
        <f t="shared" si="58"/>
        <v>0</v>
      </c>
      <c r="S237" s="2">
        <f t="shared" si="58"/>
        <v>0</v>
      </c>
      <c r="T237" s="2">
        <f t="shared" si="58"/>
        <v>0</v>
      </c>
      <c r="U237" s="2">
        <f t="shared" si="58"/>
        <v>0</v>
      </c>
      <c r="V237" s="44">
        <f>C237+C1103</f>
        <v>12741549.039999999</v>
      </c>
    </row>
    <row r="238" spans="1:22" ht="25.2" customHeight="1" x14ac:dyDescent="0.3">
      <c r="A238" s="46" t="s">
        <v>1141</v>
      </c>
      <c r="B238" s="49" t="s">
        <v>851</v>
      </c>
      <c r="C238" s="2">
        <f>D238+L238+N238+P238+R238+S238+T238+U238</f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32">
        <v>0</v>
      </c>
      <c r="N238" s="32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>N238/M238</f>
        <v>#DIV/0!</v>
      </c>
    </row>
    <row r="239" spans="1:22" ht="25.2" customHeight="1" x14ac:dyDescent="0.3">
      <c r="A239" s="46" t="s">
        <v>1142</v>
      </c>
      <c r="B239" s="49" t="s">
        <v>850</v>
      </c>
      <c r="C239" s="2">
        <f>D239+L239+N239+P239+R239+S239+T239+U239</f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32">
        <v>0</v>
      </c>
      <c r="N239" s="32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>N239/M239</f>
        <v>#DIV/0!</v>
      </c>
    </row>
    <row r="240" spans="1:22" ht="25.2" customHeight="1" x14ac:dyDescent="0.3">
      <c r="A240" s="46" t="s">
        <v>1143</v>
      </c>
      <c r="B240" s="49" t="s">
        <v>849</v>
      </c>
      <c r="C240" s="2">
        <f>D240+L240+N240+P240+R240+S240+T240+U240</f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32">
        <v>0</v>
      </c>
      <c r="N240" s="32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>N240/M240</f>
        <v>#DIV/0!</v>
      </c>
    </row>
    <row r="241" spans="1:22" ht="25.2" customHeight="1" x14ac:dyDescent="0.3">
      <c r="A241" s="46" t="s">
        <v>1144</v>
      </c>
      <c r="B241" s="49" t="s">
        <v>848</v>
      </c>
      <c r="C241" s="2">
        <f>D241+L241+N241+P241+R241+S241+T241+U241</f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32">
        <v>0</v>
      </c>
      <c r="N241" s="32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>N241/M241</f>
        <v>#DIV/0!</v>
      </c>
    </row>
    <row r="242" spans="1:22" ht="40.049999999999997" customHeight="1" x14ac:dyDescent="0.3">
      <c r="A242" s="45" t="s">
        <v>266</v>
      </c>
      <c r="B242" s="45"/>
      <c r="C242" s="2">
        <f t="shared" ref="C242:U242" si="59">SUM(C243)</f>
        <v>34252.04</v>
      </c>
      <c r="D242" s="2">
        <f t="shared" si="59"/>
        <v>0</v>
      </c>
      <c r="E242" s="2">
        <f t="shared" si="59"/>
        <v>0</v>
      </c>
      <c r="F242" s="2">
        <f t="shared" si="59"/>
        <v>0</v>
      </c>
      <c r="G242" s="2">
        <f t="shared" si="59"/>
        <v>0</v>
      </c>
      <c r="H242" s="2">
        <f t="shared" si="59"/>
        <v>0</v>
      </c>
      <c r="I242" s="2">
        <f t="shared" si="59"/>
        <v>0</v>
      </c>
      <c r="J242" s="2">
        <f t="shared" si="59"/>
        <v>0</v>
      </c>
      <c r="K242" s="38">
        <f t="shared" si="59"/>
        <v>0</v>
      </c>
      <c r="L242" s="2">
        <f t="shared" si="59"/>
        <v>0</v>
      </c>
      <c r="M242" s="2">
        <f t="shared" si="59"/>
        <v>0</v>
      </c>
      <c r="N242" s="2">
        <f t="shared" si="59"/>
        <v>0</v>
      </c>
      <c r="O242" s="2">
        <f t="shared" si="59"/>
        <v>0</v>
      </c>
      <c r="P242" s="2">
        <f t="shared" si="59"/>
        <v>0</v>
      </c>
      <c r="Q242" s="2">
        <f t="shared" si="59"/>
        <v>0</v>
      </c>
      <c r="R242" s="2">
        <f t="shared" si="59"/>
        <v>0</v>
      </c>
      <c r="S242" s="2">
        <f t="shared" si="59"/>
        <v>0</v>
      </c>
      <c r="T242" s="2">
        <f t="shared" si="59"/>
        <v>0</v>
      </c>
      <c r="U242" s="2">
        <f t="shared" si="59"/>
        <v>34252.04</v>
      </c>
      <c r="V242" s="44">
        <f>C242+C627+C1107</f>
        <v>16096023.280000001</v>
      </c>
    </row>
    <row r="243" spans="1:22" ht="25.2" customHeight="1" x14ac:dyDescent="0.3">
      <c r="A243" s="46" t="s">
        <v>1145</v>
      </c>
      <c r="B243" s="49" t="s">
        <v>290</v>
      </c>
      <c r="C243" s="2">
        <f>D243+L243+N243+P243+R243+S243+T243+U243</f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0.049999999999997" customHeight="1" x14ac:dyDescent="0.3">
      <c r="A244" s="45" t="s">
        <v>269</v>
      </c>
      <c r="B244" s="45"/>
      <c r="C244" s="2">
        <f t="shared" ref="C244:U244" si="60">SUM(C245:C246)</f>
        <v>6414068.6400000006</v>
      </c>
      <c r="D244" s="2">
        <f t="shared" si="60"/>
        <v>517361.39</v>
      </c>
      <c r="E244" s="2">
        <f t="shared" si="60"/>
        <v>264982.02</v>
      </c>
      <c r="F244" s="2">
        <f t="shared" si="60"/>
        <v>159810.94</v>
      </c>
      <c r="G244" s="2">
        <f t="shared" si="60"/>
        <v>54255.360000000001</v>
      </c>
      <c r="H244" s="2">
        <f t="shared" si="60"/>
        <v>0</v>
      </c>
      <c r="I244" s="2">
        <f t="shared" si="60"/>
        <v>38313.07</v>
      </c>
      <c r="J244" s="2">
        <f t="shared" si="60"/>
        <v>0</v>
      </c>
      <c r="K244" s="38">
        <f t="shared" si="60"/>
        <v>0</v>
      </c>
      <c r="L244" s="2">
        <f t="shared" si="60"/>
        <v>0</v>
      </c>
      <c r="M244" s="2">
        <f t="shared" si="60"/>
        <v>753.21</v>
      </c>
      <c r="N244" s="2">
        <f t="shared" si="60"/>
        <v>3858635.48</v>
      </c>
      <c r="O244" s="2">
        <f t="shared" si="60"/>
        <v>0</v>
      </c>
      <c r="P244" s="2">
        <f t="shared" si="60"/>
        <v>0</v>
      </c>
      <c r="Q244" s="2">
        <f t="shared" si="60"/>
        <v>1152</v>
      </c>
      <c r="R244" s="2">
        <f t="shared" si="60"/>
        <v>1646478.24</v>
      </c>
      <c r="S244" s="2">
        <f t="shared" si="60"/>
        <v>0</v>
      </c>
      <c r="T244" s="2">
        <f t="shared" si="60"/>
        <v>0</v>
      </c>
      <c r="U244" s="2">
        <f t="shared" si="60"/>
        <v>391593.53</v>
      </c>
      <c r="V244" s="44">
        <f>C244+C632+C1117</f>
        <v>24864020.420000002</v>
      </c>
    </row>
    <row r="245" spans="1:22" ht="25.2" customHeight="1" x14ac:dyDescent="0.3">
      <c r="A245" s="46" t="s">
        <v>1146</v>
      </c>
      <c r="B245" s="49" t="s">
        <v>270</v>
      </c>
      <c r="C245" s="2">
        <f>D245+L245+N245+P245+R245+S245+T245+U245</f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>N245/M245</f>
        <v>5194.1586609617607</v>
      </c>
    </row>
    <row r="246" spans="1:22" ht="25.2" customHeight="1" x14ac:dyDescent="0.3">
      <c r="A246" s="46" t="s">
        <v>1147</v>
      </c>
      <c r="B246" s="49" t="s">
        <v>271</v>
      </c>
      <c r="C246" s="2">
        <f>D246+L246+N246+P246+R246+S246+T246+U246</f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>N246/M246</f>
        <v>5053.5486897274632</v>
      </c>
    </row>
    <row r="247" spans="1:22" ht="40.049999999999997" customHeight="1" x14ac:dyDescent="0.3">
      <c r="A247" s="45" t="s">
        <v>274</v>
      </c>
      <c r="B247" s="45"/>
      <c r="C247" s="2">
        <f t="shared" ref="C247:U247" si="61">SUM(C248:C250)</f>
        <v>145766.94</v>
      </c>
      <c r="D247" s="2">
        <f t="shared" si="61"/>
        <v>0</v>
      </c>
      <c r="E247" s="2">
        <f t="shared" si="61"/>
        <v>0</v>
      </c>
      <c r="F247" s="2">
        <f t="shared" si="61"/>
        <v>0</v>
      </c>
      <c r="G247" s="2">
        <f t="shared" si="61"/>
        <v>0</v>
      </c>
      <c r="H247" s="2">
        <f t="shared" si="61"/>
        <v>0</v>
      </c>
      <c r="I247" s="2">
        <f t="shared" si="61"/>
        <v>0</v>
      </c>
      <c r="J247" s="2">
        <f t="shared" si="61"/>
        <v>0</v>
      </c>
      <c r="K247" s="38">
        <f t="shared" si="61"/>
        <v>0</v>
      </c>
      <c r="L247" s="2">
        <f t="shared" si="61"/>
        <v>0</v>
      </c>
      <c r="M247" s="2">
        <f t="shared" si="61"/>
        <v>0</v>
      </c>
      <c r="N247" s="2">
        <f t="shared" si="61"/>
        <v>0</v>
      </c>
      <c r="O247" s="2">
        <f t="shared" si="61"/>
        <v>0</v>
      </c>
      <c r="P247" s="2">
        <f t="shared" si="61"/>
        <v>0</v>
      </c>
      <c r="Q247" s="2">
        <f t="shared" si="61"/>
        <v>0</v>
      </c>
      <c r="R247" s="2">
        <f t="shared" si="61"/>
        <v>0</v>
      </c>
      <c r="S247" s="2">
        <f t="shared" si="61"/>
        <v>0</v>
      </c>
      <c r="T247" s="2">
        <f t="shared" si="61"/>
        <v>0</v>
      </c>
      <c r="U247" s="2">
        <f t="shared" si="61"/>
        <v>145766.94</v>
      </c>
      <c r="V247" s="44">
        <f>C247+C635+C1121</f>
        <v>36978323.480000004</v>
      </c>
    </row>
    <row r="248" spans="1:22" ht="25.2" customHeight="1" x14ac:dyDescent="0.3">
      <c r="A248" s="46" t="s">
        <v>1148</v>
      </c>
      <c r="B248" s="49" t="s">
        <v>279</v>
      </c>
      <c r="C248" s="2">
        <f>D248+L248+N248+P248+R248+S248+T248+U248</f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>N248/M248</f>
        <v>#DIV/0!</v>
      </c>
    </row>
    <row r="249" spans="1:22" ht="25.2" customHeight="1" x14ac:dyDescent="0.3">
      <c r="A249" s="46" t="s">
        <v>1149</v>
      </c>
      <c r="B249" s="49" t="s">
        <v>280</v>
      </c>
      <c r="C249" s="2">
        <f>D249+L249+N249+P249+R249+S249+T249+U249</f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>N249/M249</f>
        <v>#DIV/0!</v>
      </c>
    </row>
    <row r="250" spans="1:22" ht="25.2" customHeight="1" x14ac:dyDescent="0.3">
      <c r="A250" s="46" t="s">
        <v>1150</v>
      </c>
      <c r="B250" s="49" t="s">
        <v>282</v>
      </c>
      <c r="C250" s="2">
        <f>D250+L250+N250+P250+R250+S250+T250+U250</f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>N250/M250</f>
        <v>#DIV/0!</v>
      </c>
    </row>
    <row r="251" spans="1:22" ht="45" customHeight="1" x14ac:dyDescent="0.3">
      <c r="A251" s="45" t="s">
        <v>292</v>
      </c>
      <c r="B251" s="45"/>
      <c r="C251" s="2">
        <f t="shared" ref="C251:U251" si="62">SUM(C252:C254)</f>
        <v>7854268.2100000009</v>
      </c>
      <c r="D251" s="2">
        <f t="shared" si="62"/>
        <v>180683</v>
      </c>
      <c r="E251" s="2">
        <f t="shared" si="62"/>
        <v>147697</v>
      </c>
      <c r="F251" s="2">
        <f t="shared" si="62"/>
        <v>0</v>
      </c>
      <c r="G251" s="2">
        <f t="shared" si="62"/>
        <v>16717</v>
      </c>
      <c r="H251" s="2">
        <f t="shared" si="62"/>
        <v>0</v>
      </c>
      <c r="I251" s="2">
        <f t="shared" si="62"/>
        <v>16269</v>
      </c>
      <c r="J251" s="2">
        <f t="shared" si="62"/>
        <v>0</v>
      </c>
      <c r="K251" s="38">
        <f t="shared" si="62"/>
        <v>0</v>
      </c>
      <c r="L251" s="2">
        <f t="shared" si="62"/>
        <v>0</v>
      </c>
      <c r="M251" s="2">
        <f t="shared" si="62"/>
        <v>758</v>
      </c>
      <c r="N251" s="2">
        <f t="shared" si="62"/>
        <v>3934473</v>
      </c>
      <c r="O251" s="2">
        <f t="shared" si="62"/>
        <v>0</v>
      </c>
      <c r="P251" s="2">
        <f t="shared" si="62"/>
        <v>0</v>
      </c>
      <c r="Q251" s="2">
        <f t="shared" si="62"/>
        <v>1168.8000000000002</v>
      </c>
      <c r="R251" s="2">
        <f t="shared" si="62"/>
        <v>3044652.5</v>
      </c>
      <c r="S251" s="2">
        <f t="shared" si="62"/>
        <v>290445.24</v>
      </c>
      <c r="T251" s="2">
        <f t="shared" si="62"/>
        <v>0</v>
      </c>
      <c r="U251" s="2">
        <f t="shared" si="62"/>
        <v>404014.47</v>
      </c>
      <c r="V251" s="44" t="e">
        <f>C251+#REF!</f>
        <v>#REF!</v>
      </c>
    </row>
    <row r="252" spans="1:22" ht="25.2" customHeight="1" x14ac:dyDescent="0.3">
      <c r="A252" s="46" t="s">
        <v>1151</v>
      </c>
      <c r="B252" s="49" t="s">
        <v>293</v>
      </c>
      <c r="C252" s="2">
        <f>D252+L252+N252+P252+R252+S252+T252+U252</f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>N252/M252</f>
        <v>5293.4708333333338</v>
      </c>
    </row>
    <row r="253" spans="1:22" ht="25.2" customHeight="1" x14ac:dyDescent="0.3">
      <c r="A253" s="46" t="s">
        <v>1152</v>
      </c>
      <c r="B253" s="49" t="s">
        <v>294</v>
      </c>
      <c r="C253" s="2">
        <f>D253+L253+N253+P253+R253+S253+T253+U253</f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>N253/M253</f>
        <v>5007.2745901639346</v>
      </c>
    </row>
    <row r="254" spans="1:22" ht="25.2" customHeight="1" x14ac:dyDescent="0.3">
      <c r="A254" s="46" t="s">
        <v>1153</v>
      </c>
      <c r="B254" s="49" t="s">
        <v>295</v>
      </c>
      <c r="C254" s="2">
        <f>D254+L254+N254+P254+R254+S254+T254+U254</f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>N254/M254</f>
        <v>5263.7408759124091</v>
      </c>
    </row>
    <row r="255" spans="1:22" ht="45" customHeight="1" x14ac:dyDescent="0.3">
      <c r="A255" s="45" t="s">
        <v>297</v>
      </c>
      <c r="B255" s="45"/>
      <c r="C255" s="2">
        <f t="shared" ref="C255:U255" si="63">SUM(C256)</f>
        <v>48130.46</v>
      </c>
      <c r="D255" s="2">
        <f t="shared" si="63"/>
        <v>0</v>
      </c>
      <c r="E255" s="2">
        <f t="shared" si="63"/>
        <v>0</v>
      </c>
      <c r="F255" s="2">
        <f t="shared" si="63"/>
        <v>0</v>
      </c>
      <c r="G255" s="2">
        <f t="shared" si="63"/>
        <v>0</v>
      </c>
      <c r="H255" s="2">
        <f t="shared" si="63"/>
        <v>0</v>
      </c>
      <c r="I255" s="2">
        <f t="shared" si="63"/>
        <v>0</v>
      </c>
      <c r="J255" s="2">
        <f t="shared" si="63"/>
        <v>0</v>
      </c>
      <c r="K255" s="38">
        <f t="shared" si="63"/>
        <v>0</v>
      </c>
      <c r="L255" s="2">
        <f t="shared" si="63"/>
        <v>0</v>
      </c>
      <c r="M255" s="2">
        <f t="shared" si="63"/>
        <v>0</v>
      </c>
      <c r="N255" s="2">
        <f t="shared" si="63"/>
        <v>0</v>
      </c>
      <c r="O255" s="2">
        <f t="shared" si="63"/>
        <v>0</v>
      </c>
      <c r="P255" s="2">
        <f t="shared" si="63"/>
        <v>0</v>
      </c>
      <c r="Q255" s="2">
        <f t="shared" si="63"/>
        <v>0</v>
      </c>
      <c r="R255" s="2">
        <f t="shared" si="63"/>
        <v>0</v>
      </c>
      <c r="S255" s="2">
        <f t="shared" si="63"/>
        <v>0</v>
      </c>
      <c r="T255" s="2">
        <f t="shared" si="63"/>
        <v>0</v>
      </c>
      <c r="U255" s="2">
        <f t="shared" si="63"/>
        <v>48130.46</v>
      </c>
      <c r="V255" s="44">
        <f>C255+C645+C1129</f>
        <v>14209944.470000001</v>
      </c>
    </row>
    <row r="256" spans="1:22" ht="25.2" customHeight="1" x14ac:dyDescent="0.3">
      <c r="A256" s="34" t="s">
        <v>1154</v>
      </c>
      <c r="B256" s="49" t="s">
        <v>301</v>
      </c>
      <c r="C256" s="2">
        <f>D256+L256+N256+P256+R256+S256+T256+U256</f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32">
        <v>0</v>
      </c>
      <c r="N256" s="32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200000000000003" customHeight="1" x14ac:dyDescent="0.3">
      <c r="A257" s="45" t="s">
        <v>802</v>
      </c>
      <c r="B257" s="45"/>
      <c r="C257" s="2">
        <f t="shared" ref="C257:U257" si="64">SUM(C258)</f>
        <v>2999935.13</v>
      </c>
      <c r="D257" s="2">
        <f t="shared" si="64"/>
        <v>97668.77</v>
      </c>
      <c r="E257" s="2">
        <f t="shared" si="64"/>
        <v>97668.77</v>
      </c>
      <c r="F257" s="2">
        <f t="shared" si="64"/>
        <v>0</v>
      </c>
      <c r="G257" s="2">
        <f t="shared" si="64"/>
        <v>0</v>
      </c>
      <c r="H257" s="2">
        <f t="shared" si="64"/>
        <v>0</v>
      </c>
      <c r="I257" s="2">
        <f t="shared" si="64"/>
        <v>0</v>
      </c>
      <c r="J257" s="2">
        <f t="shared" si="64"/>
        <v>0</v>
      </c>
      <c r="K257" s="38">
        <f t="shared" si="64"/>
        <v>0</v>
      </c>
      <c r="L257" s="2">
        <f t="shared" si="64"/>
        <v>0</v>
      </c>
      <c r="M257" s="2">
        <f t="shared" si="64"/>
        <v>414</v>
      </c>
      <c r="N257" s="2">
        <f t="shared" si="64"/>
        <v>2020023.69</v>
      </c>
      <c r="O257" s="2">
        <f t="shared" si="64"/>
        <v>0</v>
      </c>
      <c r="P257" s="2">
        <f t="shared" si="64"/>
        <v>0</v>
      </c>
      <c r="Q257" s="2">
        <f t="shared" si="64"/>
        <v>556</v>
      </c>
      <c r="R257" s="2">
        <f t="shared" si="64"/>
        <v>776040.08</v>
      </c>
      <c r="S257" s="2">
        <f t="shared" si="64"/>
        <v>0</v>
      </c>
      <c r="T257" s="2">
        <f t="shared" si="64"/>
        <v>0</v>
      </c>
      <c r="U257" s="2">
        <f t="shared" si="64"/>
        <v>106202.59</v>
      </c>
      <c r="V257" s="44" t="e">
        <f>C257+#REF!+C1138</f>
        <v>#REF!</v>
      </c>
    </row>
    <row r="258" spans="1:22" ht="25.2" customHeight="1" x14ac:dyDescent="0.3">
      <c r="A258" s="46" t="s">
        <v>1155</v>
      </c>
      <c r="B258" s="49" t="s">
        <v>308</v>
      </c>
      <c r="C258" s="2">
        <f>D258+L258+N258+P258+R258+S258+T258+U258</f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" customHeight="1" x14ac:dyDescent="0.3">
      <c r="A259" s="45" t="s">
        <v>309</v>
      </c>
      <c r="B259" s="45"/>
      <c r="C259" s="2">
        <f t="shared" ref="C259:U259" si="65">SUM(C260:C261)</f>
        <v>1151732.3800000001</v>
      </c>
      <c r="D259" s="2">
        <f t="shared" si="65"/>
        <v>0</v>
      </c>
      <c r="E259" s="2">
        <f t="shared" si="65"/>
        <v>0</v>
      </c>
      <c r="F259" s="2">
        <f t="shared" si="65"/>
        <v>0</v>
      </c>
      <c r="G259" s="2">
        <f t="shared" si="65"/>
        <v>0</v>
      </c>
      <c r="H259" s="2">
        <f t="shared" si="65"/>
        <v>0</v>
      </c>
      <c r="I259" s="2">
        <f t="shared" si="65"/>
        <v>0</v>
      </c>
      <c r="J259" s="2">
        <f t="shared" si="65"/>
        <v>0</v>
      </c>
      <c r="K259" s="38">
        <f t="shared" si="65"/>
        <v>0</v>
      </c>
      <c r="L259" s="2">
        <f t="shared" si="65"/>
        <v>0</v>
      </c>
      <c r="M259" s="2">
        <f t="shared" si="65"/>
        <v>315.04000000000002</v>
      </c>
      <c r="N259" s="2">
        <f t="shared" si="65"/>
        <v>1069200</v>
      </c>
      <c r="O259" s="2">
        <f t="shared" si="65"/>
        <v>0</v>
      </c>
      <c r="P259" s="2">
        <f t="shared" si="65"/>
        <v>0</v>
      </c>
      <c r="Q259" s="2">
        <f t="shared" si="65"/>
        <v>0</v>
      </c>
      <c r="R259" s="2">
        <f t="shared" si="65"/>
        <v>0</v>
      </c>
      <c r="S259" s="2">
        <f t="shared" si="65"/>
        <v>0</v>
      </c>
      <c r="T259" s="2">
        <f t="shared" si="65"/>
        <v>0</v>
      </c>
      <c r="U259" s="2">
        <f t="shared" si="65"/>
        <v>82532.38</v>
      </c>
      <c r="V259" s="44">
        <f>C259+C647+C1141</f>
        <v>41169713.120000005</v>
      </c>
    </row>
    <row r="260" spans="1:22" ht="25.2" customHeight="1" x14ac:dyDescent="0.3">
      <c r="A260" s="34" t="s">
        <v>1156</v>
      </c>
      <c r="B260" s="49" t="s">
        <v>805</v>
      </c>
      <c r="C260" s="2">
        <f>D260+L260+N260+P260+R260+S260+T260+U260</f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3">
        <v>0</v>
      </c>
      <c r="L260" s="32">
        <v>0</v>
      </c>
      <c r="M260" s="32">
        <v>315.04000000000002</v>
      </c>
      <c r="N260" s="32">
        <v>1069200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33662.769999999997</v>
      </c>
      <c r="V260" s="6">
        <f>N260/M260</f>
        <v>3393.8547486033517</v>
      </c>
    </row>
    <row r="261" spans="1:22" ht="25.2" customHeight="1" x14ac:dyDescent="0.3">
      <c r="A261" s="34" t="s">
        <v>1157</v>
      </c>
      <c r="B261" s="49" t="s">
        <v>311</v>
      </c>
      <c r="C261" s="2">
        <f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>N261/M261</f>
        <v>#DIV/0!</v>
      </c>
    </row>
    <row r="262" spans="1:22" ht="42.9" customHeight="1" x14ac:dyDescent="0.3">
      <c r="A262" s="45" t="s">
        <v>313</v>
      </c>
      <c r="B262" s="45"/>
      <c r="C262" s="2">
        <f t="shared" ref="C262:U262" si="66">SUM(C263)</f>
        <v>2990808.4</v>
      </c>
      <c r="D262" s="2">
        <f t="shared" si="66"/>
        <v>0</v>
      </c>
      <c r="E262" s="2">
        <f t="shared" si="66"/>
        <v>0</v>
      </c>
      <c r="F262" s="2">
        <f t="shared" si="66"/>
        <v>0</v>
      </c>
      <c r="G262" s="2">
        <f t="shared" si="66"/>
        <v>0</v>
      </c>
      <c r="H262" s="2">
        <f t="shared" si="66"/>
        <v>0</v>
      </c>
      <c r="I262" s="2">
        <f t="shared" si="66"/>
        <v>0</v>
      </c>
      <c r="J262" s="2">
        <f t="shared" si="66"/>
        <v>0</v>
      </c>
      <c r="K262" s="38">
        <f t="shared" si="66"/>
        <v>0</v>
      </c>
      <c r="L262" s="2">
        <f t="shared" si="66"/>
        <v>0</v>
      </c>
      <c r="M262" s="2">
        <f t="shared" si="66"/>
        <v>366.4</v>
      </c>
      <c r="N262" s="2">
        <f t="shared" si="66"/>
        <v>1920360.81</v>
      </c>
      <c r="O262" s="2">
        <f t="shared" si="66"/>
        <v>0</v>
      </c>
      <c r="P262" s="2">
        <f t="shared" si="66"/>
        <v>0</v>
      </c>
      <c r="Q262" s="2">
        <f t="shared" si="66"/>
        <v>426</v>
      </c>
      <c r="R262" s="2">
        <f t="shared" si="66"/>
        <v>990609.29</v>
      </c>
      <c r="S262" s="2">
        <f t="shared" si="66"/>
        <v>0</v>
      </c>
      <c r="T262" s="2">
        <f t="shared" si="66"/>
        <v>0</v>
      </c>
      <c r="U262" s="2">
        <f t="shared" si="66"/>
        <v>79838.3</v>
      </c>
      <c r="V262" s="44">
        <f>C262+C651</f>
        <v>3126783.92</v>
      </c>
    </row>
    <row r="263" spans="1:22" ht="25.2" customHeight="1" x14ac:dyDescent="0.3">
      <c r="A263" s="46" t="s">
        <v>1158</v>
      </c>
      <c r="B263" s="1" t="s">
        <v>315</v>
      </c>
      <c r="C263" s="2">
        <f>D263+L263+N263+P263+R263+S263+T263+U263</f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" customHeight="1" x14ac:dyDescent="0.3">
      <c r="A264" s="45" t="s">
        <v>923</v>
      </c>
      <c r="B264" s="45"/>
      <c r="C264" s="2">
        <f t="shared" ref="C264:U264" si="67">SUM(C265)</f>
        <v>4068458.4</v>
      </c>
      <c r="D264" s="2">
        <f t="shared" si="67"/>
        <v>0</v>
      </c>
      <c r="E264" s="2">
        <f t="shared" si="67"/>
        <v>0</v>
      </c>
      <c r="F264" s="2">
        <f t="shared" si="67"/>
        <v>0</v>
      </c>
      <c r="G264" s="2">
        <f t="shared" si="67"/>
        <v>0</v>
      </c>
      <c r="H264" s="2">
        <f t="shared" si="67"/>
        <v>0</v>
      </c>
      <c r="I264" s="2">
        <f t="shared" si="67"/>
        <v>0</v>
      </c>
      <c r="J264" s="2">
        <f t="shared" si="67"/>
        <v>0</v>
      </c>
      <c r="K264" s="38">
        <f t="shared" si="67"/>
        <v>0</v>
      </c>
      <c r="L264" s="2">
        <f t="shared" si="67"/>
        <v>0</v>
      </c>
      <c r="M264" s="2">
        <f t="shared" si="67"/>
        <v>1220.3</v>
      </c>
      <c r="N264" s="2">
        <f t="shared" si="67"/>
        <v>4068458.4</v>
      </c>
      <c r="O264" s="2">
        <f t="shared" si="67"/>
        <v>0</v>
      </c>
      <c r="P264" s="2">
        <f t="shared" si="67"/>
        <v>0</v>
      </c>
      <c r="Q264" s="2">
        <f t="shared" si="67"/>
        <v>0</v>
      </c>
      <c r="R264" s="2">
        <f t="shared" si="67"/>
        <v>0</v>
      </c>
      <c r="S264" s="2">
        <f t="shared" si="67"/>
        <v>0</v>
      </c>
      <c r="T264" s="2">
        <f t="shared" si="67"/>
        <v>0</v>
      </c>
      <c r="U264" s="2">
        <f t="shared" si="67"/>
        <v>0</v>
      </c>
      <c r="V264" s="44">
        <f>C264+C655</f>
        <v>27825515.229999997</v>
      </c>
    </row>
    <row r="265" spans="1:22" ht="25.2" customHeight="1" x14ac:dyDescent="0.3">
      <c r="A265" s="46" t="s">
        <v>1159</v>
      </c>
      <c r="B265" s="1" t="s">
        <v>924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3">
      <c r="A266" s="45" t="s">
        <v>316</v>
      </c>
      <c r="B266" s="45"/>
      <c r="C266" s="2">
        <f>SUM(C267)</f>
        <v>2367169.1</v>
      </c>
      <c r="D266" s="2">
        <f t="shared" ref="D266:U266" si="68">SUM(D267:D267)</f>
        <v>0</v>
      </c>
      <c r="E266" s="2">
        <f t="shared" si="68"/>
        <v>0</v>
      </c>
      <c r="F266" s="2">
        <f t="shared" si="68"/>
        <v>0</v>
      </c>
      <c r="G266" s="2">
        <f t="shared" si="68"/>
        <v>0</v>
      </c>
      <c r="H266" s="2">
        <f t="shared" si="68"/>
        <v>0</v>
      </c>
      <c r="I266" s="2">
        <f t="shared" si="68"/>
        <v>0</v>
      </c>
      <c r="J266" s="2">
        <f t="shared" si="68"/>
        <v>0</v>
      </c>
      <c r="K266" s="38">
        <f t="shared" si="68"/>
        <v>0</v>
      </c>
      <c r="L266" s="2">
        <f t="shared" si="68"/>
        <v>0</v>
      </c>
      <c r="M266" s="2">
        <f t="shared" si="68"/>
        <v>488.37</v>
      </c>
      <c r="N266" s="2">
        <f t="shared" si="68"/>
        <v>2367169.1</v>
      </c>
      <c r="O266" s="2">
        <f t="shared" si="68"/>
        <v>0</v>
      </c>
      <c r="P266" s="2">
        <f t="shared" si="68"/>
        <v>0</v>
      </c>
      <c r="Q266" s="2">
        <f t="shared" si="68"/>
        <v>0</v>
      </c>
      <c r="R266" s="2">
        <f t="shared" si="68"/>
        <v>0</v>
      </c>
      <c r="S266" s="2">
        <f t="shared" si="68"/>
        <v>0</v>
      </c>
      <c r="T266" s="2">
        <f t="shared" si="68"/>
        <v>0</v>
      </c>
      <c r="U266" s="2">
        <f t="shared" si="68"/>
        <v>0</v>
      </c>
      <c r="V266" s="44">
        <f>C266</f>
        <v>2367169.1</v>
      </c>
    </row>
    <row r="267" spans="1:22" ht="25.2" customHeight="1" x14ac:dyDescent="0.3">
      <c r="A267" s="34" t="s">
        <v>1160</v>
      </c>
      <c r="B267" s="49" t="s">
        <v>919</v>
      </c>
      <c r="C267" s="2">
        <f>D267+L267+N267+P267+R267+S267+T267+U267</f>
        <v>2367169.1</v>
      </c>
      <c r="D267" s="3">
        <f>SUM(E267:J267)</f>
        <v>0</v>
      </c>
      <c r="E267" s="32">
        <v>0</v>
      </c>
      <c r="F267" s="32">
        <v>0</v>
      </c>
      <c r="G267" s="32">
        <v>0</v>
      </c>
      <c r="H267" s="32">
        <v>0</v>
      </c>
      <c r="I267" s="32">
        <v>0</v>
      </c>
      <c r="J267" s="32">
        <v>0</v>
      </c>
      <c r="K267" s="33">
        <v>0</v>
      </c>
      <c r="L267" s="32">
        <v>0</v>
      </c>
      <c r="M267" s="32">
        <v>488.37</v>
      </c>
      <c r="N267" s="32">
        <v>2367169.1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6">
        <f>N267/M267</f>
        <v>4847.081311300858</v>
      </c>
    </row>
    <row r="268" spans="1:22" ht="40.200000000000003" customHeight="1" x14ac:dyDescent="0.3">
      <c r="A268" s="45" t="s">
        <v>320</v>
      </c>
      <c r="B268" s="45"/>
      <c r="C268" s="2">
        <f t="shared" ref="C268:U268" si="69">SUM(C269)</f>
        <v>1083858.1100000001</v>
      </c>
      <c r="D268" s="2">
        <f t="shared" si="69"/>
        <v>0</v>
      </c>
      <c r="E268" s="2">
        <f t="shared" si="69"/>
        <v>0</v>
      </c>
      <c r="F268" s="2">
        <f t="shared" si="69"/>
        <v>0</v>
      </c>
      <c r="G268" s="2">
        <f t="shared" si="69"/>
        <v>0</v>
      </c>
      <c r="H268" s="2">
        <f t="shared" si="69"/>
        <v>0</v>
      </c>
      <c r="I268" s="2">
        <f t="shared" si="69"/>
        <v>0</v>
      </c>
      <c r="J268" s="2">
        <f t="shared" si="69"/>
        <v>0</v>
      </c>
      <c r="K268" s="38">
        <f t="shared" si="69"/>
        <v>0</v>
      </c>
      <c r="L268" s="2">
        <f t="shared" si="69"/>
        <v>0</v>
      </c>
      <c r="M268" s="2">
        <f t="shared" si="69"/>
        <v>321.10000000000002</v>
      </c>
      <c r="N268" s="2">
        <f t="shared" si="69"/>
        <v>1059307.8500000001</v>
      </c>
      <c r="O268" s="2">
        <f t="shared" si="69"/>
        <v>0</v>
      </c>
      <c r="P268" s="2">
        <f t="shared" si="69"/>
        <v>0</v>
      </c>
      <c r="Q268" s="2">
        <f t="shared" si="69"/>
        <v>0</v>
      </c>
      <c r="R268" s="2">
        <f t="shared" si="69"/>
        <v>0</v>
      </c>
      <c r="S268" s="2">
        <f t="shared" si="69"/>
        <v>0</v>
      </c>
      <c r="T268" s="2">
        <f t="shared" si="69"/>
        <v>0</v>
      </c>
      <c r="U268" s="2">
        <f t="shared" si="69"/>
        <v>24550.26</v>
      </c>
      <c r="V268" s="44">
        <f>C268</f>
        <v>1083858.1100000001</v>
      </c>
    </row>
    <row r="269" spans="1:22" ht="25.2" customHeight="1" x14ac:dyDescent="0.3">
      <c r="A269" s="46" t="s">
        <v>1161</v>
      </c>
      <c r="B269" s="49" t="s">
        <v>321</v>
      </c>
      <c r="C269" s="2">
        <f>D269+L269+N269+P269+R269+S269+T269+U269</f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200000000000003" customHeight="1" x14ac:dyDescent="0.3">
      <c r="A270" s="45" t="s">
        <v>983</v>
      </c>
      <c r="B270" s="45"/>
      <c r="C270" s="2">
        <f t="shared" ref="C270:U270" si="70">SUM(C271:C283)</f>
        <v>51998849.679999992</v>
      </c>
      <c r="D270" s="2">
        <f t="shared" si="70"/>
        <v>713279.95</v>
      </c>
      <c r="E270" s="2">
        <f t="shared" si="70"/>
        <v>316423.8</v>
      </c>
      <c r="F270" s="2">
        <f t="shared" si="70"/>
        <v>0</v>
      </c>
      <c r="G270" s="2">
        <f t="shared" si="70"/>
        <v>203648.15</v>
      </c>
      <c r="H270" s="2">
        <f t="shared" si="70"/>
        <v>0</v>
      </c>
      <c r="I270" s="2">
        <f t="shared" si="70"/>
        <v>193208</v>
      </c>
      <c r="J270" s="2">
        <f t="shared" si="70"/>
        <v>0</v>
      </c>
      <c r="K270" s="38">
        <f t="shared" si="70"/>
        <v>0</v>
      </c>
      <c r="L270" s="2">
        <f t="shared" si="70"/>
        <v>0</v>
      </c>
      <c r="M270" s="2">
        <f t="shared" si="70"/>
        <v>7845</v>
      </c>
      <c r="N270" s="2">
        <f t="shared" si="70"/>
        <v>25612943.949999999</v>
      </c>
      <c r="O270" s="2">
        <f t="shared" si="70"/>
        <v>0</v>
      </c>
      <c r="P270" s="2">
        <f t="shared" si="70"/>
        <v>0</v>
      </c>
      <c r="Q270" s="2">
        <f t="shared" si="70"/>
        <v>9809.4</v>
      </c>
      <c r="R270" s="2">
        <f t="shared" si="70"/>
        <v>22910394.800000001</v>
      </c>
      <c r="S270" s="2">
        <f t="shared" si="70"/>
        <v>488565.26</v>
      </c>
      <c r="T270" s="2">
        <f t="shared" si="70"/>
        <v>0</v>
      </c>
      <c r="U270" s="2">
        <f t="shared" si="70"/>
        <v>2273665.7200000002</v>
      </c>
      <c r="V270" s="44">
        <f>C270+C658+C1151</f>
        <v>318177495.85999995</v>
      </c>
    </row>
    <row r="271" spans="1:22" ht="24" customHeight="1" x14ac:dyDescent="0.3">
      <c r="A271" s="46" t="s">
        <v>1162</v>
      </c>
      <c r="B271" s="49" t="s">
        <v>322</v>
      </c>
      <c r="C271" s="2">
        <f t="shared" ref="C271:C283" si="71">D271+L271+N271+P271+R271+S271+T271+U271</f>
        <v>2925706.35</v>
      </c>
      <c r="D271" s="3">
        <f t="shared" ref="D271:D283" si="72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0" si="73">N271/M271</f>
        <v>3103.5535602559739</v>
      </c>
    </row>
    <row r="272" spans="1:22" ht="24" customHeight="1" x14ac:dyDescent="0.3">
      <c r="A272" s="46" t="s">
        <v>1163</v>
      </c>
      <c r="B272" s="49" t="s">
        <v>323</v>
      </c>
      <c r="C272" s="2">
        <f t="shared" si="71"/>
        <v>3929419.09</v>
      </c>
      <c r="D272" s="3">
        <f t="shared" si="72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73"/>
        <v>3096.7366155937029</v>
      </c>
    </row>
    <row r="273" spans="1:22" ht="24" customHeight="1" x14ac:dyDescent="0.3">
      <c r="A273" s="46" t="s">
        <v>1164</v>
      </c>
      <c r="B273" s="49" t="s">
        <v>324</v>
      </c>
      <c r="C273" s="2">
        <f t="shared" si="71"/>
        <v>4817880.9799999995</v>
      </c>
      <c r="D273" s="3">
        <f t="shared" si="72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73"/>
        <v>2964.71859999244</v>
      </c>
    </row>
    <row r="274" spans="1:22" ht="24" customHeight="1" x14ac:dyDescent="0.3">
      <c r="A274" s="46" t="s">
        <v>1165</v>
      </c>
      <c r="B274" s="49" t="s">
        <v>325</v>
      </c>
      <c r="C274" s="2">
        <f t="shared" si="71"/>
        <v>4998407.29</v>
      </c>
      <c r="D274" s="3">
        <f t="shared" si="72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73"/>
        <v>2937.7836222355049</v>
      </c>
    </row>
    <row r="275" spans="1:22" ht="24" customHeight="1" x14ac:dyDescent="0.3">
      <c r="A275" s="46" t="s">
        <v>1166</v>
      </c>
      <c r="B275" s="49" t="s">
        <v>326</v>
      </c>
      <c r="C275" s="2">
        <f t="shared" si="71"/>
        <v>4568951.93</v>
      </c>
      <c r="D275" s="3">
        <f t="shared" si="72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73"/>
        <v>#DIV/0!</v>
      </c>
    </row>
    <row r="276" spans="1:22" ht="24" customHeight="1" x14ac:dyDescent="0.3">
      <c r="A276" s="46" t="s">
        <v>1167</v>
      </c>
      <c r="B276" s="49" t="s">
        <v>328</v>
      </c>
      <c r="C276" s="2">
        <f t="shared" si="71"/>
        <v>4381271.97</v>
      </c>
      <c r="D276" s="3">
        <f t="shared" si="72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73"/>
        <v>#DIV/0!</v>
      </c>
    </row>
    <row r="277" spans="1:22" ht="24" customHeight="1" x14ac:dyDescent="0.3">
      <c r="A277" s="46" t="s">
        <v>1168</v>
      </c>
      <c r="B277" s="49" t="s">
        <v>329</v>
      </c>
      <c r="C277" s="2">
        <f t="shared" si="71"/>
        <v>4530496.58</v>
      </c>
      <c r="D277" s="3">
        <f t="shared" si="72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73"/>
        <v>#DIV/0!</v>
      </c>
    </row>
    <row r="278" spans="1:22" ht="24" customHeight="1" x14ac:dyDescent="0.3">
      <c r="A278" s="46" t="s">
        <v>1169</v>
      </c>
      <c r="B278" s="49" t="s">
        <v>330</v>
      </c>
      <c r="C278" s="2">
        <f t="shared" si="71"/>
        <v>4528460.6399999997</v>
      </c>
      <c r="D278" s="3">
        <f t="shared" si="72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73"/>
        <v>#DIV/0!</v>
      </c>
    </row>
    <row r="279" spans="1:22" ht="24" customHeight="1" x14ac:dyDescent="0.3">
      <c r="A279" s="46" t="s">
        <v>1170</v>
      </c>
      <c r="B279" s="49" t="s">
        <v>327</v>
      </c>
      <c r="C279" s="2">
        <f t="shared" si="71"/>
        <v>105201.37</v>
      </c>
      <c r="D279" s="3">
        <f t="shared" si="72"/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 t="shared" si="73"/>
        <v>#DIV/0!</v>
      </c>
    </row>
    <row r="280" spans="1:22" ht="24" customHeight="1" x14ac:dyDescent="0.3">
      <c r="A280" s="46" t="s">
        <v>1171</v>
      </c>
      <c r="B280" s="49" t="s">
        <v>879</v>
      </c>
      <c r="C280" s="2">
        <f t="shared" si="71"/>
        <v>3104305.26</v>
      </c>
      <c r="D280" s="3">
        <f t="shared" si="72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32">
        <v>0</v>
      </c>
      <c r="N280" s="32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73"/>
        <v>#DIV/0!</v>
      </c>
    </row>
    <row r="281" spans="1:22" ht="24" customHeight="1" x14ac:dyDescent="0.3">
      <c r="A281" s="46" t="s">
        <v>1172</v>
      </c>
      <c r="B281" s="49" t="s">
        <v>843</v>
      </c>
      <c r="C281" s="2">
        <f t="shared" si="71"/>
        <v>435666.08</v>
      </c>
      <c r="D281" s="3">
        <f t="shared" si="72"/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 t="e">
        <f>#REF!/#REF!</f>
        <v>#REF!</v>
      </c>
    </row>
    <row r="282" spans="1:22" ht="24" customHeight="1" x14ac:dyDescent="0.3">
      <c r="A282" s="46" t="s">
        <v>1173</v>
      </c>
      <c r="B282" s="49" t="s">
        <v>880</v>
      </c>
      <c r="C282" s="2">
        <f t="shared" si="71"/>
        <v>8063449.2299999995</v>
      </c>
      <c r="D282" s="3">
        <f t="shared" si="72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32">
        <v>746</v>
      </c>
      <c r="N282" s="32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>N282/M282</f>
        <v>5328.1704423592491</v>
      </c>
    </row>
    <row r="283" spans="1:22" ht="24" customHeight="1" x14ac:dyDescent="0.3">
      <c r="A283" s="46" t="s">
        <v>1174</v>
      </c>
      <c r="B283" s="49" t="s">
        <v>354</v>
      </c>
      <c r="C283" s="2">
        <f t="shared" si="71"/>
        <v>5609632.9100000001</v>
      </c>
      <c r="D283" s="3">
        <f t="shared" si="72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>N283/M283</f>
        <v>3169.8599393405498</v>
      </c>
    </row>
    <row r="284" spans="1:22" s="42" customFormat="1" ht="24.9" customHeight="1" x14ac:dyDescent="0.3">
      <c r="A284" s="40" t="s">
        <v>196</v>
      </c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1"/>
    </row>
    <row r="285" spans="1:22" ht="24.9" customHeight="1" x14ac:dyDescent="0.3">
      <c r="A285" s="43" t="s">
        <v>197</v>
      </c>
      <c r="B285" s="43"/>
      <c r="C285" s="2">
        <f t="shared" ref="C285:U285" si="74"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si="74"/>
        <v>143844949.20000002</v>
      </c>
      <c r="E285" s="2">
        <f t="shared" si="74"/>
        <v>29993743.079999998</v>
      </c>
      <c r="F285" s="2">
        <f t="shared" si="74"/>
        <v>75775992.849999979</v>
      </c>
      <c r="G285" s="2">
        <f t="shared" si="74"/>
        <v>13049736.169999998</v>
      </c>
      <c r="H285" s="2">
        <f t="shared" si="74"/>
        <v>11963847.17</v>
      </c>
      <c r="I285" s="2">
        <f t="shared" si="74"/>
        <v>13061629.93</v>
      </c>
      <c r="J285" s="2">
        <f t="shared" si="74"/>
        <v>0</v>
      </c>
      <c r="K285" s="38">
        <f t="shared" si="74"/>
        <v>39</v>
      </c>
      <c r="L285" s="2">
        <f t="shared" si="74"/>
        <v>74728344.170000002</v>
      </c>
      <c r="M285" s="2">
        <f t="shared" si="74"/>
        <v>117277.4</v>
      </c>
      <c r="N285" s="2">
        <f t="shared" si="74"/>
        <v>572204383.69999969</v>
      </c>
      <c r="O285" s="2">
        <f t="shared" si="74"/>
        <v>1696.1999999999998</v>
      </c>
      <c r="P285" s="2">
        <f t="shared" si="74"/>
        <v>1569467.5</v>
      </c>
      <c r="Q285" s="2">
        <f t="shared" si="74"/>
        <v>82083.529999999984</v>
      </c>
      <c r="R285" s="2">
        <f t="shared" si="74"/>
        <v>211288760.96999997</v>
      </c>
      <c r="S285" s="2">
        <f t="shared" si="74"/>
        <v>52420.18</v>
      </c>
      <c r="T285" s="2">
        <f t="shared" si="74"/>
        <v>0</v>
      </c>
      <c r="U285" s="2">
        <f t="shared" si="74"/>
        <v>25330905.260000002</v>
      </c>
    </row>
    <row r="286" spans="1:22" ht="40.049999999999997" customHeight="1" x14ac:dyDescent="0.3">
      <c r="A286" s="45" t="s">
        <v>982</v>
      </c>
      <c r="B286" s="45"/>
      <c r="C286" s="2">
        <f t="shared" ref="C286:U286" si="75">SUM(C287:C288)</f>
        <v>9205122.290000001</v>
      </c>
      <c r="D286" s="2">
        <f t="shared" si="75"/>
        <v>498637.9</v>
      </c>
      <c r="E286" s="2">
        <f t="shared" si="75"/>
        <v>498637.9</v>
      </c>
      <c r="F286" s="2">
        <f t="shared" si="75"/>
        <v>0</v>
      </c>
      <c r="G286" s="2">
        <f t="shared" si="75"/>
        <v>0</v>
      </c>
      <c r="H286" s="2">
        <f t="shared" si="75"/>
        <v>0</v>
      </c>
      <c r="I286" s="2">
        <f t="shared" si="75"/>
        <v>0</v>
      </c>
      <c r="J286" s="2">
        <f t="shared" si="75"/>
        <v>0</v>
      </c>
      <c r="K286" s="38">
        <f t="shared" si="75"/>
        <v>0</v>
      </c>
      <c r="L286" s="2">
        <f t="shared" si="75"/>
        <v>0</v>
      </c>
      <c r="M286" s="2">
        <f t="shared" si="75"/>
        <v>1095.82</v>
      </c>
      <c r="N286" s="2">
        <f t="shared" si="75"/>
        <v>5132919.0999999996</v>
      </c>
      <c r="O286" s="2">
        <f t="shared" si="75"/>
        <v>0</v>
      </c>
      <c r="P286" s="2">
        <f t="shared" si="75"/>
        <v>0</v>
      </c>
      <c r="Q286" s="2">
        <f t="shared" si="75"/>
        <v>1219</v>
      </c>
      <c r="R286" s="2">
        <f t="shared" si="75"/>
        <v>3459521.49</v>
      </c>
      <c r="S286" s="2">
        <f t="shared" si="75"/>
        <v>0</v>
      </c>
      <c r="T286" s="2">
        <f t="shared" si="75"/>
        <v>0</v>
      </c>
      <c r="U286" s="2">
        <f t="shared" si="75"/>
        <v>114043.8</v>
      </c>
    </row>
    <row r="287" spans="1:22" ht="24" customHeight="1" x14ac:dyDescent="0.3">
      <c r="A287" s="46" t="s">
        <v>1205</v>
      </c>
      <c r="B287" s="56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6">
        <f>N287/M287</f>
        <v>4990.5045123081263</v>
      </c>
    </row>
    <row r="288" spans="1:22" ht="24" customHeight="1" x14ac:dyDescent="0.3">
      <c r="A288" s="46" t="s">
        <v>1206</v>
      </c>
      <c r="B288" s="57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6">
        <f>N288/M288</f>
        <v>4430.3184017350686</v>
      </c>
    </row>
    <row r="289" spans="1:22" ht="40.049999999999997" customHeight="1" x14ac:dyDescent="0.3">
      <c r="A289" s="45" t="s">
        <v>0</v>
      </c>
      <c r="B289" s="45"/>
      <c r="C289" s="2">
        <f t="shared" ref="C289:U289" si="76">SUM(C290:C308)</f>
        <v>98735767.409999996</v>
      </c>
      <c r="D289" s="2">
        <f t="shared" si="76"/>
        <v>7436576.3999999994</v>
      </c>
      <c r="E289" s="2">
        <f t="shared" si="76"/>
        <v>1881183</v>
      </c>
      <c r="F289" s="2">
        <f t="shared" si="76"/>
        <v>2739651.8</v>
      </c>
      <c r="G289" s="2">
        <f t="shared" si="76"/>
        <v>647216.19999999995</v>
      </c>
      <c r="H289" s="2">
        <f t="shared" si="76"/>
        <v>1083258.2</v>
      </c>
      <c r="I289" s="2">
        <f t="shared" si="76"/>
        <v>1085267.2</v>
      </c>
      <c r="J289" s="2">
        <f t="shared" si="76"/>
        <v>0</v>
      </c>
      <c r="K289" s="38">
        <f t="shared" si="76"/>
        <v>10</v>
      </c>
      <c r="L289" s="2">
        <f t="shared" si="76"/>
        <v>21908867.84</v>
      </c>
      <c r="M289" s="2">
        <f t="shared" si="76"/>
        <v>9411.4299999999985</v>
      </c>
      <c r="N289" s="2">
        <f t="shared" si="76"/>
        <v>40492927.57</v>
      </c>
      <c r="O289" s="2">
        <f t="shared" si="76"/>
        <v>498</v>
      </c>
      <c r="P289" s="2">
        <f t="shared" si="76"/>
        <v>471445</v>
      </c>
      <c r="Q289" s="2">
        <f t="shared" si="76"/>
        <v>9236.7999999999993</v>
      </c>
      <c r="R289" s="2">
        <f t="shared" si="76"/>
        <v>25833161.600000001</v>
      </c>
      <c r="S289" s="2">
        <f t="shared" si="76"/>
        <v>0</v>
      </c>
      <c r="T289" s="2">
        <f t="shared" si="76"/>
        <v>0</v>
      </c>
      <c r="U289" s="2">
        <f t="shared" si="76"/>
        <v>2592789</v>
      </c>
    </row>
    <row r="290" spans="1:22" ht="24" customHeight="1" x14ac:dyDescent="0.3">
      <c r="A290" s="34" t="s">
        <v>1207</v>
      </c>
      <c r="B290" s="49" t="s">
        <v>44</v>
      </c>
      <c r="C290" s="2">
        <f t="shared" ref="C290:C308" si="77">D290+L290+N290+P290+R290+S290+T290+U290</f>
        <v>4342584</v>
      </c>
      <c r="D290" s="3">
        <f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6">
        <f t="shared" ref="V290:V308" si="78">N290/M290</f>
        <v>5401.2238805970146</v>
      </c>
    </row>
    <row r="291" spans="1:22" ht="24" customHeight="1" x14ac:dyDescent="0.3">
      <c r="A291" s="34" t="s">
        <v>1208</v>
      </c>
      <c r="B291" s="49" t="s">
        <v>47</v>
      </c>
      <c r="C291" s="2">
        <f t="shared" si="77"/>
        <v>1403380</v>
      </c>
      <c r="D291" s="3">
        <f>SUM(E291:J291)</f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6">
        <f t="shared" si="78"/>
        <v>5500</v>
      </c>
    </row>
    <row r="292" spans="1:22" ht="24" customHeight="1" x14ac:dyDescent="0.3">
      <c r="A292" s="34" t="s">
        <v>1209</v>
      </c>
      <c r="B292" s="49" t="s">
        <v>32</v>
      </c>
      <c r="C292" s="2">
        <f t="shared" si="77"/>
        <v>8641715.9100000001</v>
      </c>
      <c r="D292" s="3">
        <f>SUM(E292:J292)</f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6">
        <f t="shared" si="78"/>
        <v>5491.7930463576167</v>
      </c>
    </row>
    <row r="293" spans="1:22" ht="24" customHeight="1" x14ac:dyDescent="0.3">
      <c r="A293" s="34" t="s">
        <v>1210</v>
      </c>
      <c r="B293" s="49" t="s">
        <v>51</v>
      </c>
      <c r="C293" s="2">
        <f t="shared" si="77"/>
        <v>5034090</v>
      </c>
      <c r="D293" s="3">
        <f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78"/>
        <v>5169.8502680386964</v>
      </c>
    </row>
    <row r="294" spans="1:22" ht="24" customHeight="1" x14ac:dyDescent="0.3">
      <c r="A294" s="34" t="s">
        <v>1211</v>
      </c>
      <c r="B294" s="47" t="s">
        <v>852</v>
      </c>
      <c r="C294" s="2">
        <f t="shared" si="77"/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48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6" t="e">
        <f t="shared" si="78"/>
        <v>#DIV/0!</v>
      </c>
    </row>
    <row r="295" spans="1:22" ht="24" customHeight="1" x14ac:dyDescent="0.3">
      <c r="A295" s="34" t="s">
        <v>1212</v>
      </c>
      <c r="B295" s="49" t="s">
        <v>54</v>
      </c>
      <c r="C295" s="2">
        <f t="shared" si="77"/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48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6" t="e">
        <f t="shared" si="78"/>
        <v>#DIV/0!</v>
      </c>
    </row>
    <row r="296" spans="1:22" ht="24" customHeight="1" x14ac:dyDescent="0.3">
      <c r="A296" s="34" t="s">
        <v>1213</v>
      </c>
      <c r="B296" s="49" t="s">
        <v>52</v>
      </c>
      <c r="C296" s="2">
        <f t="shared" si="77"/>
        <v>2582996.2599999998</v>
      </c>
      <c r="D296" s="3">
        <f t="shared" ref="D296:D308" si="79">SUM(E296:J296)</f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6">
        <f t="shared" si="78"/>
        <v>5201.3617801047112</v>
      </c>
    </row>
    <row r="297" spans="1:22" ht="24" customHeight="1" x14ac:dyDescent="0.3">
      <c r="A297" s="34" t="s">
        <v>1214</v>
      </c>
      <c r="B297" s="47" t="s">
        <v>58</v>
      </c>
      <c r="C297" s="2">
        <f t="shared" si="77"/>
        <v>3051154.77</v>
      </c>
      <c r="D297" s="3">
        <f t="shared" si="79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78"/>
        <v>5499.5579848594089</v>
      </c>
    </row>
    <row r="298" spans="1:22" ht="24" customHeight="1" x14ac:dyDescent="0.3">
      <c r="A298" s="34" t="s">
        <v>1215</v>
      </c>
      <c r="B298" s="49" t="s">
        <v>33</v>
      </c>
      <c r="C298" s="2">
        <f t="shared" si="77"/>
        <v>3795805.94</v>
      </c>
      <c r="D298" s="3">
        <f t="shared" si="79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6">
        <f t="shared" si="78"/>
        <v>3462.378856152513</v>
      </c>
    </row>
    <row r="299" spans="1:22" ht="25.2" customHeight="1" x14ac:dyDescent="0.3">
      <c r="A299" s="34" t="s">
        <v>1216</v>
      </c>
      <c r="B299" s="49" t="s">
        <v>988</v>
      </c>
      <c r="C299" s="2">
        <f t="shared" si="77"/>
        <v>14021461.279999999</v>
      </c>
      <c r="D299" s="3">
        <f t="shared" si="79"/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6" t="e">
        <f t="shared" si="78"/>
        <v>#DIV/0!</v>
      </c>
    </row>
    <row r="300" spans="1:22" ht="25.2" customHeight="1" x14ac:dyDescent="0.3">
      <c r="A300" s="34" t="s">
        <v>1217</v>
      </c>
      <c r="B300" s="49" t="s">
        <v>34</v>
      </c>
      <c r="C300" s="2">
        <f t="shared" si="77"/>
        <v>957241.2</v>
      </c>
      <c r="D300" s="3">
        <f t="shared" si="79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78"/>
        <v>2900.5551178716441</v>
      </c>
    </row>
    <row r="301" spans="1:22" ht="25.2" customHeight="1" x14ac:dyDescent="0.3">
      <c r="A301" s="34" t="s">
        <v>1218</v>
      </c>
      <c r="B301" s="49" t="s">
        <v>61</v>
      </c>
      <c r="C301" s="2">
        <f t="shared" si="77"/>
        <v>4819705</v>
      </c>
      <c r="D301" s="3">
        <f t="shared" si="79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78"/>
        <v>5500</v>
      </c>
    </row>
    <row r="302" spans="1:22" ht="25.2" customHeight="1" x14ac:dyDescent="0.3">
      <c r="A302" s="34" t="s">
        <v>1219</v>
      </c>
      <c r="B302" s="49" t="s">
        <v>60</v>
      </c>
      <c r="C302" s="2">
        <f t="shared" si="77"/>
        <v>103983.92</v>
      </c>
      <c r="D302" s="3">
        <f t="shared" si="79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6" t="e">
        <f t="shared" si="78"/>
        <v>#DIV/0!</v>
      </c>
    </row>
    <row r="303" spans="1:22" ht="25.2" customHeight="1" x14ac:dyDescent="0.3">
      <c r="A303" s="34" t="s">
        <v>1220</v>
      </c>
      <c r="B303" s="49" t="s">
        <v>64</v>
      </c>
      <c r="C303" s="2">
        <f t="shared" si="77"/>
        <v>349158.1</v>
      </c>
      <c r="D303" s="3">
        <f t="shared" si="79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6" t="e">
        <f t="shared" si="78"/>
        <v>#DIV/0!</v>
      </c>
    </row>
    <row r="304" spans="1:22" ht="25.2" customHeight="1" x14ac:dyDescent="0.3">
      <c r="A304" s="34" t="s">
        <v>1221</v>
      </c>
      <c r="B304" s="49" t="s">
        <v>818</v>
      </c>
      <c r="C304" s="2">
        <f t="shared" si="77"/>
        <v>11139009.6</v>
      </c>
      <c r="D304" s="3">
        <f t="shared" si="79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6">
        <f t="shared" si="78"/>
        <v>3343.6224674022069</v>
      </c>
    </row>
    <row r="305" spans="1:22" ht="25.2" customHeight="1" x14ac:dyDescent="0.3">
      <c r="A305" s="34" t="s">
        <v>1222</v>
      </c>
      <c r="B305" s="47" t="s">
        <v>36</v>
      </c>
      <c r="C305" s="2">
        <f t="shared" si="77"/>
        <v>4118881.2</v>
      </c>
      <c r="D305" s="3">
        <f t="shared" si="79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 t="shared" si="78"/>
        <v>3320.6072234762978</v>
      </c>
    </row>
    <row r="306" spans="1:22" ht="25.2" customHeight="1" x14ac:dyDescent="0.3">
      <c r="A306" s="34" t="s">
        <v>1223</v>
      </c>
      <c r="B306" s="49" t="s">
        <v>835</v>
      </c>
      <c r="C306" s="2">
        <f t="shared" si="77"/>
        <v>8750299.8599999994</v>
      </c>
      <c r="D306" s="3">
        <f t="shared" si="79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48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6" t="e">
        <f t="shared" si="78"/>
        <v>#DIV/0!</v>
      </c>
    </row>
    <row r="307" spans="1:22" ht="25.2" customHeight="1" x14ac:dyDescent="0.3">
      <c r="A307" s="34" t="s">
        <v>1224</v>
      </c>
      <c r="B307" s="47" t="s">
        <v>37</v>
      </c>
      <c r="C307" s="2">
        <f t="shared" si="77"/>
        <v>15692997.6</v>
      </c>
      <c r="D307" s="3">
        <f t="shared" si="79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6" t="e">
        <f t="shared" si="78"/>
        <v>#DIV/0!</v>
      </c>
    </row>
    <row r="308" spans="1:22" ht="25.2" customHeight="1" x14ac:dyDescent="0.3">
      <c r="A308" s="34" t="s">
        <v>1225</v>
      </c>
      <c r="B308" s="47" t="s">
        <v>38</v>
      </c>
      <c r="C308" s="2">
        <f t="shared" si="77"/>
        <v>9083486.25</v>
      </c>
      <c r="D308" s="3">
        <f t="shared" si="79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6">
        <f t="shared" si="78"/>
        <v>2892.8231196460511</v>
      </c>
    </row>
    <row r="309" spans="1:22" ht="42.9" customHeight="1" x14ac:dyDescent="0.3">
      <c r="A309" s="45" t="s">
        <v>30</v>
      </c>
      <c r="B309" s="45"/>
      <c r="C309" s="2">
        <f t="shared" ref="C309:U309" si="80">SUM(C310)</f>
        <v>100972.17</v>
      </c>
      <c r="D309" s="2">
        <f t="shared" si="80"/>
        <v>0</v>
      </c>
      <c r="E309" s="2">
        <f t="shared" si="80"/>
        <v>0</v>
      </c>
      <c r="F309" s="2">
        <f t="shared" si="80"/>
        <v>0</v>
      </c>
      <c r="G309" s="2">
        <f t="shared" si="80"/>
        <v>0</v>
      </c>
      <c r="H309" s="2">
        <f t="shared" si="80"/>
        <v>0</v>
      </c>
      <c r="I309" s="2">
        <f t="shared" si="80"/>
        <v>0</v>
      </c>
      <c r="J309" s="2">
        <f t="shared" si="80"/>
        <v>0</v>
      </c>
      <c r="K309" s="38">
        <f t="shared" si="80"/>
        <v>0</v>
      </c>
      <c r="L309" s="2">
        <f t="shared" si="80"/>
        <v>0</v>
      </c>
      <c r="M309" s="2">
        <f t="shared" si="80"/>
        <v>0</v>
      </c>
      <c r="N309" s="2">
        <f t="shared" si="80"/>
        <v>0</v>
      </c>
      <c r="O309" s="2">
        <f t="shared" si="80"/>
        <v>0</v>
      </c>
      <c r="P309" s="2">
        <f t="shared" si="80"/>
        <v>0</v>
      </c>
      <c r="Q309" s="2">
        <f t="shared" si="80"/>
        <v>0</v>
      </c>
      <c r="R309" s="2">
        <f t="shared" si="80"/>
        <v>0</v>
      </c>
      <c r="S309" s="2">
        <f t="shared" si="80"/>
        <v>0</v>
      </c>
      <c r="T309" s="2">
        <f t="shared" si="80"/>
        <v>0</v>
      </c>
      <c r="U309" s="2">
        <f t="shared" si="80"/>
        <v>100972.17</v>
      </c>
      <c r="V309" s="44">
        <f>C309</f>
        <v>100972.17</v>
      </c>
    </row>
    <row r="310" spans="1:22" ht="25.2" customHeight="1" x14ac:dyDescent="0.3">
      <c r="A310" s="46" t="s">
        <v>1226</v>
      </c>
      <c r="B310" s="49" t="s">
        <v>31</v>
      </c>
      <c r="C310" s="2">
        <f>D310+L310+N310+P310+R310+S310+T310+U310</f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6" t="e">
        <f>N310/M310</f>
        <v>#DIV/0!</v>
      </c>
    </row>
    <row r="311" spans="1:22" ht="42.9" customHeight="1" x14ac:dyDescent="0.3">
      <c r="A311" s="45" t="s">
        <v>73</v>
      </c>
      <c r="B311" s="45"/>
      <c r="C311" s="2">
        <f t="shared" ref="C311:U311" si="81">SUM(C312:C314)</f>
        <v>7136655.46</v>
      </c>
      <c r="D311" s="2">
        <f t="shared" si="81"/>
        <v>0</v>
      </c>
      <c r="E311" s="2">
        <f t="shared" si="81"/>
        <v>0</v>
      </c>
      <c r="F311" s="2">
        <f t="shared" si="81"/>
        <v>0</v>
      </c>
      <c r="G311" s="2">
        <f t="shared" si="81"/>
        <v>0</v>
      </c>
      <c r="H311" s="2">
        <f t="shared" si="81"/>
        <v>0</v>
      </c>
      <c r="I311" s="2">
        <f t="shared" si="81"/>
        <v>0</v>
      </c>
      <c r="J311" s="2">
        <f t="shared" si="81"/>
        <v>0</v>
      </c>
      <c r="K311" s="38">
        <f t="shared" si="81"/>
        <v>0</v>
      </c>
      <c r="L311" s="2">
        <f t="shared" si="81"/>
        <v>0</v>
      </c>
      <c r="M311" s="2">
        <f t="shared" si="81"/>
        <v>1302.0999999999999</v>
      </c>
      <c r="N311" s="2">
        <f t="shared" si="81"/>
        <v>6894899.5899999999</v>
      </c>
      <c r="O311" s="2">
        <f t="shared" si="81"/>
        <v>0</v>
      </c>
      <c r="P311" s="2">
        <f t="shared" si="81"/>
        <v>0</v>
      </c>
      <c r="Q311" s="2">
        <f t="shared" si="81"/>
        <v>0</v>
      </c>
      <c r="R311" s="2">
        <f t="shared" si="81"/>
        <v>0</v>
      </c>
      <c r="S311" s="2">
        <f t="shared" si="81"/>
        <v>0</v>
      </c>
      <c r="T311" s="2">
        <f t="shared" si="81"/>
        <v>0</v>
      </c>
      <c r="U311" s="2">
        <f t="shared" si="81"/>
        <v>241755.87</v>
      </c>
    </row>
    <row r="312" spans="1:22" ht="25.2" customHeight="1" x14ac:dyDescent="0.3">
      <c r="A312" s="34" t="s">
        <v>1227</v>
      </c>
      <c r="B312" s="49" t="s">
        <v>813</v>
      </c>
      <c r="C312" s="2">
        <f>D312+L312+N312+P312+R312+S312+T312+U312</f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3">
        <v>0</v>
      </c>
      <c r="L312" s="32">
        <v>0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0</v>
      </c>
      <c r="S312" s="32">
        <v>0</v>
      </c>
      <c r="T312" s="32">
        <v>0</v>
      </c>
      <c r="U312" s="32">
        <v>241755.87</v>
      </c>
      <c r="V312" s="6" t="e">
        <f>N312/M312</f>
        <v>#DIV/0!</v>
      </c>
    </row>
    <row r="313" spans="1:22" ht="25.2" customHeight="1" x14ac:dyDescent="0.3">
      <c r="A313" s="34" t="s">
        <v>1228</v>
      </c>
      <c r="B313" s="49" t="s">
        <v>814</v>
      </c>
      <c r="C313" s="2">
        <f>D313+L313+N313+P313+R313+S313+T313+U313</f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2">
        <v>0</v>
      </c>
      <c r="U313" s="3">
        <v>0</v>
      </c>
      <c r="V313" s="6">
        <f>N313/M313</f>
        <v>5428.2709205798537</v>
      </c>
    </row>
    <row r="314" spans="1:22" ht="25.2" customHeight="1" x14ac:dyDescent="0.3">
      <c r="A314" s="34" t="s">
        <v>1229</v>
      </c>
      <c r="B314" s="49" t="s">
        <v>815</v>
      </c>
      <c r="C314" s="2">
        <f>D314+L314+N314+P314+R314+S314+T314+U314</f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2">
        <v>0</v>
      </c>
      <c r="U314" s="3">
        <v>0</v>
      </c>
      <c r="V314" s="6">
        <f>N314/M314</f>
        <v>5078.2669292929295</v>
      </c>
    </row>
    <row r="315" spans="1:22" ht="42.9" customHeight="1" x14ac:dyDescent="0.3">
      <c r="A315" s="45" t="s">
        <v>2</v>
      </c>
      <c r="B315" s="45"/>
      <c r="C315" s="2">
        <f t="shared" ref="C315:U315" si="82">SUM(C316:C317)</f>
        <v>5038178.04</v>
      </c>
      <c r="D315" s="2">
        <f t="shared" si="82"/>
        <v>0</v>
      </c>
      <c r="E315" s="2">
        <f t="shared" si="82"/>
        <v>0</v>
      </c>
      <c r="F315" s="2">
        <f t="shared" si="82"/>
        <v>0</v>
      </c>
      <c r="G315" s="2">
        <f t="shared" si="82"/>
        <v>0</v>
      </c>
      <c r="H315" s="2">
        <f t="shared" si="82"/>
        <v>0</v>
      </c>
      <c r="I315" s="2">
        <f t="shared" si="82"/>
        <v>0</v>
      </c>
      <c r="J315" s="2">
        <f t="shared" si="82"/>
        <v>0</v>
      </c>
      <c r="K315" s="38">
        <f t="shared" si="82"/>
        <v>0</v>
      </c>
      <c r="L315" s="2">
        <f t="shared" si="82"/>
        <v>0</v>
      </c>
      <c r="M315" s="2">
        <f t="shared" si="82"/>
        <v>1019.4</v>
      </c>
      <c r="N315" s="2">
        <f t="shared" si="82"/>
        <v>5038178.04</v>
      </c>
      <c r="O315" s="2">
        <f t="shared" si="82"/>
        <v>0</v>
      </c>
      <c r="P315" s="2">
        <f t="shared" si="82"/>
        <v>0</v>
      </c>
      <c r="Q315" s="2">
        <f t="shared" si="82"/>
        <v>0</v>
      </c>
      <c r="R315" s="2">
        <f t="shared" si="82"/>
        <v>0</v>
      </c>
      <c r="S315" s="2">
        <f t="shared" si="82"/>
        <v>0</v>
      </c>
      <c r="T315" s="2">
        <f t="shared" si="82"/>
        <v>0</v>
      </c>
      <c r="U315" s="2">
        <f t="shared" si="82"/>
        <v>0</v>
      </c>
    </row>
    <row r="316" spans="1:22" ht="25.2" customHeight="1" x14ac:dyDescent="0.3">
      <c r="A316" s="46" t="s">
        <v>1230</v>
      </c>
      <c r="B316" s="49" t="s">
        <v>78</v>
      </c>
      <c r="C316" s="2">
        <f>D316+L316+N316+P316+R316+S316+T316+U316</f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32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2">
        <v>0</v>
      </c>
      <c r="V316" s="6">
        <f>N316/M316</f>
        <v>4966.4573866980581</v>
      </c>
    </row>
    <row r="317" spans="1:22" ht="25.2" customHeight="1" x14ac:dyDescent="0.3">
      <c r="A317" s="46" t="s">
        <v>1231</v>
      </c>
      <c r="B317" s="49" t="s">
        <v>79</v>
      </c>
      <c r="C317" s="2">
        <f>D317+L317+N317+P317+R317+S317+T317+U317</f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32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2">
        <v>0</v>
      </c>
      <c r="V317" s="6">
        <f>N317/M317</f>
        <v>4918.1375515008831</v>
      </c>
    </row>
    <row r="318" spans="1:22" ht="45" customHeight="1" x14ac:dyDescent="0.3">
      <c r="A318" s="45" t="s">
        <v>80</v>
      </c>
      <c r="B318" s="45"/>
      <c r="C318" s="2">
        <f t="shared" ref="C318:U318" si="83">SUM(C319)</f>
        <v>71020.7</v>
      </c>
      <c r="D318" s="2">
        <f t="shared" si="83"/>
        <v>0</v>
      </c>
      <c r="E318" s="2">
        <f t="shared" si="83"/>
        <v>0</v>
      </c>
      <c r="F318" s="2">
        <f t="shared" si="83"/>
        <v>0</v>
      </c>
      <c r="G318" s="2">
        <f t="shared" si="83"/>
        <v>0</v>
      </c>
      <c r="H318" s="2">
        <f t="shared" si="83"/>
        <v>0</v>
      </c>
      <c r="I318" s="2">
        <f t="shared" si="83"/>
        <v>0</v>
      </c>
      <c r="J318" s="2">
        <f t="shared" si="83"/>
        <v>0</v>
      </c>
      <c r="K318" s="38">
        <f t="shared" si="83"/>
        <v>0</v>
      </c>
      <c r="L318" s="2">
        <f t="shared" si="83"/>
        <v>0</v>
      </c>
      <c r="M318" s="2">
        <f t="shared" si="83"/>
        <v>0</v>
      </c>
      <c r="N318" s="2">
        <f t="shared" si="83"/>
        <v>0</v>
      </c>
      <c r="O318" s="2">
        <f t="shared" si="83"/>
        <v>0</v>
      </c>
      <c r="P318" s="2">
        <f t="shared" si="83"/>
        <v>0</v>
      </c>
      <c r="Q318" s="2">
        <f t="shared" si="83"/>
        <v>0</v>
      </c>
      <c r="R318" s="2">
        <f t="shared" si="83"/>
        <v>0</v>
      </c>
      <c r="S318" s="2">
        <f t="shared" si="83"/>
        <v>0</v>
      </c>
      <c r="T318" s="2">
        <f t="shared" si="83"/>
        <v>0</v>
      </c>
      <c r="U318" s="2">
        <f t="shared" si="83"/>
        <v>71020.7</v>
      </c>
      <c r="V318" s="44">
        <f>C318+C725</f>
        <v>1434220.7</v>
      </c>
    </row>
    <row r="319" spans="1:22" ht="25.2" customHeight="1" x14ac:dyDescent="0.3">
      <c r="A319" s="34" t="s">
        <v>1232</v>
      </c>
      <c r="B319" s="1" t="s">
        <v>81</v>
      </c>
      <c r="C319" s="2">
        <f>D319+L319+N319+P319+R319+S319+T319+U319</f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33">
        <v>0</v>
      </c>
      <c r="L319" s="32">
        <v>0</v>
      </c>
      <c r="M319" s="32">
        <v>0</v>
      </c>
      <c r="N319" s="32">
        <v>0</v>
      </c>
      <c r="O319" s="32">
        <v>0</v>
      </c>
      <c r="P319" s="32">
        <v>0</v>
      </c>
      <c r="Q319" s="32">
        <v>0</v>
      </c>
      <c r="R319" s="3">
        <v>0</v>
      </c>
      <c r="S319" s="32">
        <v>0</v>
      </c>
      <c r="T319" s="32">
        <v>0</v>
      </c>
      <c r="U319" s="32">
        <v>71020.7</v>
      </c>
      <c r="V319" s="6" t="e">
        <f>N319/M319</f>
        <v>#DIV/0!</v>
      </c>
    </row>
    <row r="320" spans="1:22" ht="45" customHeight="1" x14ac:dyDescent="0.3">
      <c r="A320" s="45" t="s">
        <v>792</v>
      </c>
      <c r="B320" s="45"/>
      <c r="C320" s="2">
        <f t="shared" ref="C320:U320" si="84">SUM(C321:C322)</f>
        <v>3892881.29</v>
      </c>
      <c r="D320" s="2">
        <f t="shared" si="84"/>
        <v>0</v>
      </c>
      <c r="E320" s="2">
        <f t="shared" si="84"/>
        <v>0</v>
      </c>
      <c r="F320" s="2">
        <f t="shared" si="84"/>
        <v>0</v>
      </c>
      <c r="G320" s="2">
        <f t="shared" si="84"/>
        <v>0</v>
      </c>
      <c r="H320" s="2">
        <f t="shared" si="84"/>
        <v>0</v>
      </c>
      <c r="I320" s="2">
        <f t="shared" si="84"/>
        <v>0</v>
      </c>
      <c r="J320" s="2">
        <f t="shared" si="84"/>
        <v>0</v>
      </c>
      <c r="K320" s="38">
        <f t="shared" si="84"/>
        <v>0</v>
      </c>
      <c r="L320" s="2">
        <f t="shared" si="84"/>
        <v>0</v>
      </c>
      <c r="M320" s="2">
        <f t="shared" si="84"/>
        <v>341.2</v>
      </c>
      <c r="N320" s="2">
        <f t="shared" si="84"/>
        <v>1158583.52</v>
      </c>
      <c r="O320" s="2">
        <f t="shared" si="84"/>
        <v>0</v>
      </c>
      <c r="P320" s="2">
        <f t="shared" si="84"/>
        <v>0</v>
      </c>
      <c r="Q320" s="2">
        <f t="shared" si="84"/>
        <v>855</v>
      </c>
      <c r="R320" s="2">
        <f t="shared" si="84"/>
        <v>2565000</v>
      </c>
      <c r="S320" s="2">
        <f t="shared" si="84"/>
        <v>0</v>
      </c>
      <c r="T320" s="2">
        <f t="shared" si="84"/>
        <v>0</v>
      </c>
      <c r="U320" s="2">
        <f t="shared" si="84"/>
        <v>169297.77</v>
      </c>
    </row>
    <row r="321" spans="1:258" ht="25.2" customHeight="1" x14ac:dyDescent="0.3">
      <c r="A321" s="46" t="s">
        <v>1233</v>
      </c>
      <c r="B321" s="49" t="s">
        <v>86</v>
      </c>
      <c r="C321" s="2">
        <f>D321+L321+N321+P321+R321+S321+T321+U321</f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6" t="e">
        <f>N321/M321</f>
        <v>#DIV/0!</v>
      </c>
    </row>
    <row r="322" spans="1:258" ht="25.2" customHeight="1" x14ac:dyDescent="0.3">
      <c r="A322" s="46" t="s">
        <v>1234</v>
      </c>
      <c r="B322" s="49" t="s">
        <v>87</v>
      </c>
      <c r="C322" s="2">
        <f>D322+L322+N322+P322+R322+S322+T322+U322</f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3">
        <v>0</v>
      </c>
      <c r="L322" s="32">
        <v>0</v>
      </c>
      <c r="M322" s="32">
        <v>341.2</v>
      </c>
      <c r="N322" s="32">
        <v>1158583.52</v>
      </c>
      <c r="O322" s="32">
        <v>0</v>
      </c>
      <c r="P322" s="32">
        <v>0</v>
      </c>
      <c r="Q322" s="32">
        <v>855</v>
      </c>
      <c r="R322" s="3">
        <v>2565000</v>
      </c>
      <c r="S322" s="32">
        <v>0</v>
      </c>
      <c r="T322" s="32">
        <v>0</v>
      </c>
      <c r="U322" s="32">
        <v>0</v>
      </c>
      <c r="V322" s="6">
        <f>N322/M322</f>
        <v>3395.614067995311</v>
      </c>
      <c r="IX322" s="39"/>
    </row>
    <row r="323" spans="1:258" ht="45" customHeight="1" x14ac:dyDescent="0.3">
      <c r="A323" s="45" t="s">
        <v>90</v>
      </c>
      <c r="B323" s="45"/>
      <c r="C323" s="2">
        <f t="shared" ref="C323:U323" si="85">SUM(C324:C327)</f>
        <v>13701948.35</v>
      </c>
      <c r="D323" s="2">
        <f t="shared" si="85"/>
        <v>198676.96</v>
      </c>
      <c r="E323" s="2">
        <f t="shared" si="85"/>
        <v>161634.29999999999</v>
      </c>
      <c r="F323" s="2">
        <f t="shared" si="85"/>
        <v>0</v>
      </c>
      <c r="G323" s="2">
        <f t="shared" si="85"/>
        <v>37042.660000000003</v>
      </c>
      <c r="H323" s="2">
        <f t="shared" si="85"/>
        <v>0</v>
      </c>
      <c r="I323" s="2">
        <f t="shared" si="85"/>
        <v>0</v>
      </c>
      <c r="J323" s="2">
        <f t="shared" si="85"/>
        <v>0</v>
      </c>
      <c r="K323" s="38">
        <f t="shared" si="85"/>
        <v>5</v>
      </c>
      <c r="L323" s="2">
        <f t="shared" si="85"/>
        <v>10458966.57</v>
      </c>
      <c r="M323" s="2">
        <f t="shared" si="85"/>
        <v>747</v>
      </c>
      <c r="N323" s="2">
        <f t="shared" si="85"/>
        <v>2503149.33</v>
      </c>
      <c r="O323" s="2">
        <f t="shared" si="85"/>
        <v>0</v>
      </c>
      <c r="P323" s="2">
        <f t="shared" si="85"/>
        <v>0</v>
      </c>
      <c r="Q323" s="2">
        <f t="shared" si="85"/>
        <v>0</v>
      </c>
      <c r="R323" s="2">
        <f t="shared" si="85"/>
        <v>0</v>
      </c>
      <c r="S323" s="2">
        <f t="shared" si="85"/>
        <v>0</v>
      </c>
      <c r="T323" s="2">
        <f t="shared" si="85"/>
        <v>0</v>
      </c>
      <c r="U323" s="2">
        <f t="shared" si="85"/>
        <v>541155.49</v>
      </c>
    </row>
    <row r="324" spans="1:258" s="58" customFormat="1" ht="25.2" customHeight="1" x14ac:dyDescent="0.3">
      <c r="A324" s="46" t="s">
        <v>1235</v>
      </c>
      <c r="B324" s="49" t="s">
        <v>91</v>
      </c>
      <c r="C324" s="2">
        <f>D324+L324+N324+P324+R324+S324+T324+U324</f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32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6">
        <f>N324/M324</f>
        <v>3350.9361847389559</v>
      </c>
    </row>
    <row r="325" spans="1:258" s="6" customFormat="1" ht="25.2" customHeight="1" x14ac:dyDescent="0.3">
      <c r="A325" s="46" t="s">
        <v>1236</v>
      </c>
      <c r="B325" s="49" t="s">
        <v>92</v>
      </c>
      <c r="C325" s="2">
        <f>D325+L325+N325+P325+R325+S325+T325+U325</f>
        <v>257304.78</v>
      </c>
      <c r="D325" s="3">
        <f>SUM(E325:J325)</f>
        <v>198676.96</v>
      </c>
      <c r="E325" s="32">
        <v>161634.29999999999</v>
      </c>
      <c r="F325" s="32">
        <f>800*0</f>
        <v>0</v>
      </c>
      <c r="G325" s="32">
        <v>37042.660000000003</v>
      </c>
      <c r="H325" s="32">
        <f>500*0</f>
        <v>0</v>
      </c>
      <c r="I325" s="32">
        <v>0</v>
      </c>
      <c r="J325" s="32">
        <f>350*0</f>
        <v>0</v>
      </c>
      <c r="K325" s="33">
        <v>0</v>
      </c>
      <c r="L325" s="32">
        <v>0</v>
      </c>
      <c r="M325" s="32">
        <v>0</v>
      </c>
      <c r="N325" s="32">
        <v>0</v>
      </c>
      <c r="O325" s="32">
        <v>0</v>
      </c>
      <c r="P325" s="32">
        <v>0</v>
      </c>
      <c r="Q325" s="32">
        <v>0</v>
      </c>
      <c r="R325" s="32">
        <v>0</v>
      </c>
      <c r="S325" s="32">
        <v>0</v>
      </c>
      <c r="T325" s="32">
        <v>0</v>
      </c>
      <c r="U325" s="32">
        <v>58627.82</v>
      </c>
      <c r="V325" s="6" t="e">
        <f>N325/M325</f>
        <v>#DIV/0!</v>
      </c>
    </row>
    <row r="326" spans="1:258" s="6" customFormat="1" ht="25.2" customHeight="1" x14ac:dyDescent="0.3">
      <c r="A326" s="46" t="s">
        <v>1237</v>
      </c>
      <c r="B326" s="49" t="s">
        <v>95</v>
      </c>
      <c r="C326" s="2">
        <f>D326+L326+N326+P326+R326+S326+T326+U326</f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3">
        <v>2</v>
      </c>
      <c r="L326" s="32">
        <v>4170220.4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2">
        <v>0</v>
      </c>
      <c r="U326" s="32">
        <v>206524.84</v>
      </c>
      <c r="V326" s="6" t="e">
        <f>N326/M326</f>
        <v>#DIV/0!</v>
      </c>
    </row>
    <row r="327" spans="1:258" ht="25.2" customHeight="1" x14ac:dyDescent="0.3">
      <c r="A327" s="46" t="s">
        <v>1238</v>
      </c>
      <c r="B327" s="49" t="s">
        <v>97</v>
      </c>
      <c r="C327" s="2">
        <f>D327+L327+N327+P327+R327+S327+T327+U327</f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32">
        <v>0</v>
      </c>
      <c r="N327" s="32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6" t="e">
        <f>N327/M327</f>
        <v>#DIV/0!</v>
      </c>
    </row>
    <row r="328" spans="1:258" ht="50.25" customHeight="1" x14ac:dyDescent="0.3">
      <c r="A328" s="45" t="s">
        <v>99</v>
      </c>
      <c r="B328" s="45"/>
      <c r="C328" s="2">
        <f t="shared" ref="C328:U328" si="86">SUM(C329:C335)</f>
        <v>25162921.030000001</v>
      </c>
      <c r="D328" s="2">
        <f t="shared" si="86"/>
        <v>1498260.9100000001</v>
      </c>
      <c r="E328" s="2">
        <f t="shared" si="86"/>
        <v>295858.87</v>
      </c>
      <c r="F328" s="2">
        <f t="shared" si="86"/>
        <v>961380</v>
      </c>
      <c r="G328" s="2">
        <f t="shared" si="86"/>
        <v>148263.76</v>
      </c>
      <c r="H328" s="2">
        <f t="shared" si="86"/>
        <v>92758.28</v>
      </c>
      <c r="I328" s="2">
        <f t="shared" si="86"/>
        <v>0</v>
      </c>
      <c r="J328" s="2">
        <f t="shared" si="86"/>
        <v>0</v>
      </c>
      <c r="K328" s="38">
        <f t="shared" si="86"/>
        <v>0</v>
      </c>
      <c r="L328" s="2">
        <f t="shared" si="86"/>
        <v>0</v>
      </c>
      <c r="M328" s="2">
        <f t="shared" si="86"/>
        <v>4288.4600000000009</v>
      </c>
      <c r="N328" s="2">
        <f t="shared" si="86"/>
        <v>20884485.370000001</v>
      </c>
      <c r="O328" s="2">
        <f t="shared" si="86"/>
        <v>0</v>
      </c>
      <c r="P328" s="2">
        <f t="shared" si="86"/>
        <v>0</v>
      </c>
      <c r="Q328" s="2">
        <f t="shared" si="86"/>
        <v>942</v>
      </c>
      <c r="R328" s="2">
        <f t="shared" si="86"/>
        <v>2780174.75</v>
      </c>
      <c r="S328" s="2">
        <f t="shared" si="86"/>
        <v>0</v>
      </c>
      <c r="T328" s="2">
        <f t="shared" si="86"/>
        <v>0</v>
      </c>
      <c r="U328" s="2">
        <f t="shared" si="86"/>
        <v>0</v>
      </c>
    </row>
    <row r="329" spans="1:258" s="59" customFormat="1" ht="25.2" customHeight="1" x14ac:dyDescent="0.3">
      <c r="A329" s="46" t="s">
        <v>1239</v>
      </c>
      <c r="B329" s="49" t="s">
        <v>100</v>
      </c>
      <c r="C329" s="2">
        <f t="shared" ref="C329:C335" si="87">D329+L329+N329+P329+R329+S329+T329+U329</f>
        <v>3229619.15</v>
      </c>
      <c r="D329" s="3">
        <f t="shared" ref="D329:D335" si="88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2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 t="shared" ref="V329:V335" si="89">N329/M329</f>
        <v>5110.1568829113921</v>
      </c>
    </row>
    <row r="330" spans="1:258" ht="25.2" customHeight="1" x14ac:dyDescent="0.3">
      <c r="A330" s="46" t="s">
        <v>1240</v>
      </c>
      <c r="B330" s="49" t="s">
        <v>102</v>
      </c>
      <c r="C330" s="2">
        <f t="shared" si="87"/>
        <v>3371061.19</v>
      </c>
      <c r="D330" s="3">
        <f t="shared" si="88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32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6">
        <f t="shared" si="89"/>
        <v>5226.451457364341</v>
      </c>
    </row>
    <row r="331" spans="1:258" ht="25.2" customHeight="1" x14ac:dyDescent="0.3">
      <c r="A331" s="46" t="s">
        <v>1241</v>
      </c>
      <c r="B331" s="49" t="s">
        <v>918</v>
      </c>
      <c r="C331" s="2">
        <f t="shared" si="87"/>
        <v>3363849.99</v>
      </c>
      <c r="D331" s="3">
        <f t="shared" si="88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33">
        <v>0</v>
      </c>
      <c r="L331" s="32">
        <v>0</v>
      </c>
      <c r="M331" s="32">
        <v>916.9</v>
      </c>
      <c r="N331" s="32">
        <v>3363849.99</v>
      </c>
      <c r="O331" s="32">
        <v>0</v>
      </c>
      <c r="P331" s="32">
        <v>0</v>
      </c>
      <c r="Q331" s="32">
        <v>0</v>
      </c>
      <c r="R331" s="32">
        <f>Q331*3000</f>
        <v>0</v>
      </c>
      <c r="S331" s="32">
        <v>0</v>
      </c>
      <c r="T331" s="32">
        <v>0</v>
      </c>
      <c r="U331" s="32">
        <v>0</v>
      </c>
      <c r="V331" s="6">
        <f t="shared" si="89"/>
        <v>3668.7206783727784</v>
      </c>
    </row>
    <row r="332" spans="1:258" ht="25.2" customHeight="1" x14ac:dyDescent="0.3">
      <c r="A332" s="46" t="s">
        <v>1242</v>
      </c>
      <c r="B332" s="49" t="s">
        <v>105</v>
      </c>
      <c r="C332" s="2">
        <f t="shared" si="87"/>
        <v>4278435.66</v>
      </c>
      <c r="D332" s="3">
        <f t="shared" si="88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32">
        <v>0</v>
      </c>
      <c r="N332" s="32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6" t="e">
        <f t="shared" si="89"/>
        <v>#DIV/0!</v>
      </c>
    </row>
    <row r="333" spans="1:258" ht="25.2" customHeight="1" x14ac:dyDescent="0.3">
      <c r="A333" s="46" t="s">
        <v>1243</v>
      </c>
      <c r="B333" s="49" t="s">
        <v>110</v>
      </c>
      <c r="C333" s="2">
        <f t="shared" si="87"/>
        <v>3220380.49</v>
      </c>
      <c r="D333" s="3">
        <f t="shared" si="88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32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6">
        <f t="shared" si="89"/>
        <v>5067.5549418558912</v>
      </c>
    </row>
    <row r="334" spans="1:258" ht="25.2" customHeight="1" x14ac:dyDescent="0.3">
      <c r="A334" s="46" t="s">
        <v>1244</v>
      </c>
      <c r="B334" s="49" t="s">
        <v>111</v>
      </c>
      <c r="C334" s="2">
        <f t="shared" si="87"/>
        <v>4425182.18</v>
      </c>
      <c r="D334" s="3">
        <f t="shared" si="88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32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si="89"/>
        <v>5439.3487554544899</v>
      </c>
    </row>
    <row r="335" spans="1:258" ht="25.2" customHeight="1" x14ac:dyDescent="0.3">
      <c r="A335" s="46" t="s">
        <v>1245</v>
      </c>
      <c r="B335" s="49" t="s">
        <v>112</v>
      </c>
      <c r="C335" s="2">
        <f t="shared" si="87"/>
        <v>3274392.37</v>
      </c>
      <c r="D335" s="3">
        <f t="shared" si="88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32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6">
        <f t="shared" si="89"/>
        <v>5072.4878702441447</v>
      </c>
    </row>
    <row r="336" spans="1:258" ht="45" customHeight="1" x14ac:dyDescent="0.3">
      <c r="A336" s="45" t="s">
        <v>113</v>
      </c>
      <c r="B336" s="45"/>
      <c r="C336" s="2">
        <f t="shared" ref="C336:U336" si="90">SUM(C337)</f>
        <v>1238562</v>
      </c>
      <c r="D336" s="2">
        <f t="shared" si="90"/>
        <v>0</v>
      </c>
      <c r="E336" s="2">
        <f t="shared" si="90"/>
        <v>0</v>
      </c>
      <c r="F336" s="2">
        <f t="shared" si="90"/>
        <v>0</v>
      </c>
      <c r="G336" s="2">
        <f t="shared" si="90"/>
        <v>0</v>
      </c>
      <c r="H336" s="2">
        <f t="shared" si="90"/>
        <v>0</v>
      </c>
      <c r="I336" s="2">
        <f t="shared" si="90"/>
        <v>0</v>
      </c>
      <c r="J336" s="2">
        <f t="shared" si="90"/>
        <v>0</v>
      </c>
      <c r="K336" s="38">
        <f t="shared" si="90"/>
        <v>0</v>
      </c>
      <c r="L336" s="2">
        <f t="shared" si="90"/>
        <v>0</v>
      </c>
      <c r="M336" s="2">
        <f t="shared" si="90"/>
        <v>253.26</v>
      </c>
      <c r="N336" s="2">
        <f t="shared" si="90"/>
        <v>1238562</v>
      </c>
      <c r="O336" s="2">
        <f t="shared" si="90"/>
        <v>0</v>
      </c>
      <c r="P336" s="2">
        <f t="shared" si="90"/>
        <v>0</v>
      </c>
      <c r="Q336" s="2">
        <f t="shared" si="90"/>
        <v>0</v>
      </c>
      <c r="R336" s="2">
        <f t="shared" si="90"/>
        <v>0</v>
      </c>
      <c r="S336" s="2">
        <f t="shared" si="90"/>
        <v>0</v>
      </c>
      <c r="T336" s="2">
        <f t="shared" si="90"/>
        <v>0</v>
      </c>
      <c r="U336" s="2">
        <f t="shared" si="90"/>
        <v>0</v>
      </c>
      <c r="V336" s="44"/>
    </row>
    <row r="337" spans="1:22" ht="25.2" customHeight="1" x14ac:dyDescent="0.3">
      <c r="A337" s="46" t="s">
        <v>1246</v>
      </c>
      <c r="B337" s="49" t="s">
        <v>115</v>
      </c>
      <c r="C337" s="2">
        <f>D337+L337+N337+P337+R337+S337+T337+U337</f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32">
        <v>253.26</v>
      </c>
      <c r="N337" s="3">
        <v>1238562</v>
      </c>
      <c r="O337" s="32">
        <v>0</v>
      </c>
      <c r="P337" s="32">
        <v>0</v>
      </c>
      <c r="Q337" s="32">
        <v>0</v>
      </c>
      <c r="R337" s="32">
        <v>0</v>
      </c>
      <c r="S337" s="32">
        <v>0</v>
      </c>
      <c r="T337" s="32">
        <v>0</v>
      </c>
      <c r="U337" s="32">
        <v>0</v>
      </c>
      <c r="V337" s="6">
        <f>N337/M337</f>
        <v>4890.4761904761908</v>
      </c>
    </row>
    <row r="338" spans="1:22" ht="45" customHeight="1" x14ac:dyDescent="0.3">
      <c r="A338" s="45" t="s">
        <v>121</v>
      </c>
      <c r="B338" s="45"/>
      <c r="C338" s="2">
        <f t="shared" ref="C338:U338" si="91">SUM(C339:C340)</f>
        <v>2319175.34</v>
      </c>
      <c r="D338" s="2">
        <f t="shared" si="91"/>
        <v>0</v>
      </c>
      <c r="E338" s="2">
        <f t="shared" si="91"/>
        <v>0</v>
      </c>
      <c r="F338" s="2">
        <f t="shared" si="91"/>
        <v>0</v>
      </c>
      <c r="G338" s="2">
        <f t="shared" si="91"/>
        <v>0</v>
      </c>
      <c r="H338" s="2">
        <f t="shared" si="91"/>
        <v>0</v>
      </c>
      <c r="I338" s="2">
        <f t="shared" si="91"/>
        <v>0</v>
      </c>
      <c r="J338" s="2">
        <f t="shared" si="91"/>
        <v>0</v>
      </c>
      <c r="K338" s="38">
        <f t="shared" si="91"/>
        <v>0</v>
      </c>
      <c r="L338" s="2">
        <f t="shared" si="91"/>
        <v>0</v>
      </c>
      <c r="M338" s="2">
        <f t="shared" si="91"/>
        <v>490.4</v>
      </c>
      <c r="N338" s="2">
        <f t="shared" si="91"/>
        <v>2319175.34</v>
      </c>
      <c r="O338" s="2">
        <f t="shared" si="91"/>
        <v>0</v>
      </c>
      <c r="P338" s="2">
        <f t="shared" si="91"/>
        <v>0</v>
      </c>
      <c r="Q338" s="2">
        <f t="shared" si="91"/>
        <v>0</v>
      </c>
      <c r="R338" s="2">
        <f t="shared" si="91"/>
        <v>0</v>
      </c>
      <c r="S338" s="2">
        <f t="shared" si="91"/>
        <v>0</v>
      </c>
      <c r="T338" s="2">
        <f t="shared" si="91"/>
        <v>0</v>
      </c>
      <c r="U338" s="2">
        <f t="shared" si="91"/>
        <v>0</v>
      </c>
    </row>
    <row r="339" spans="1:22" ht="25.2" customHeight="1" x14ac:dyDescent="0.3">
      <c r="A339" s="46" t="s">
        <v>1247</v>
      </c>
      <c r="B339" s="1" t="s">
        <v>118</v>
      </c>
      <c r="C339" s="2">
        <f>D339+L339+N339+P339+R339+S339+T339+U339</f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6">
        <f>N339/M339</f>
        <v>4511.585006877579</v>
      </c>
    </row>
    <row r="340" spans="1:22" ht="25.2" customHeight="1" x14ac:dyDescent="0.3">
      <c r="A340" s="46" t="s">
        <v>1248</v>
      </c>
      <c r="B340" s="1" t="s">
        <v>120</v>
      </c>
      <c r="C340" s="2">
        <f>D340+L340+N340+P340+R340+S340+T340+U340</f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3">
        <v>0</v>
      </c>
      <c r="L340" s="32">
        <v>0</v>
      </c>
      <c r="M340" s="32">
        <v>345</v>
      </c>
      <c r="N340" s="3">
        <v>1663190.88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  <c r="V340" s="6">
        <f>N340/M340</f>
        <v>4820.8431304347823</v>
      </c>
    </row>
    <row r="341" spans="1:22" ht="40.049999999999997" customHeight="1" x14ac:dyDescent="0.3">
      <c r="A341" s="45" t="s">
        <v>124</v>
      </c>
      <c r="B341" s="45"/>
      <c r="C341" s="2">
        <f t="shared" ref="C341:U341" si="92">SUM(C342)</f>
        <v>2583463.5900000003</v>
      </c>
      <c r="D341" s="2">
        <f t="shared" si="92"/>
        <v>123025</v>
      </c>
      <c r="E341" s="2">
        <f t="shared" si="92"/>
        <v>123025</v>
      </c>
      <c r="F341" s="2">
        <f t="shared" si="92"/>
        <v>0</v>
      </c>
      <c r="G341" s="2">
        <f t="shared" si="92"/>
        <v>0</v>
      </c>
      <c r="H341" s="2">
        <f t="shared" si="92"/>
        <v>0</v>
      </c>
      <c r="I341" s="2">
        <f t="shared" si="92"/>
        <v>0</v>
      </c>
      <c r="J341" s="2">
        <f t="shared" si="92"/>
        <v>0</v>
      </c>
      <c r="K341" s="38">
        <f t="shared" si="92"/>
        <v>0</v>
      </c>
      <c r="L341" s="2">
        <f t="shared" si="92"/>
        <v>0</v>
      </c>
      <c r="M341" s="2">
        <f t="shared" si="92"/>
        <v>282</v>
      </c>
      <c r="N341" s="2">
        <f t="shared" si="92"/>
        <v>1456069.2</v>
      </c>
      <c r="O341" s="2">
        <f t="shared" si="92"/>
        <v>0</v>
      </c>
      <c r="P341" s="2">
        <f t="shared" si="92"/>
        <v>0</v>
      </c>
      <c r="Q341" s="2">
        <f t="shared" si="92"/>
        <v>318</v>
      </c>
      <c r="R341" s="2">
        <f t="shared" si="92"/>
        <v>954000</v>
      </c>
      <c r="S341" s="2">
        <f t="shared" si="92"/>
        <v>0</v>
      </c>
      <c r="T341" s="2">
        <f t="shared" si="92"/>
        <v>0</v>
      </c>
      <c r="U341" s="2">
        <f t="shared" si="92"/>
        <v>50369.39</v>
      </c>
      <c r="V341" s="44"/>
    </row>
    <row r="342" spans="1:22" ht="25.2" customHeight="1" x14ac:dyDescent="0.3">
      <c r="A342" s="34" t="s">
        <v>1249</v>
      </c>
      <c r="B342" s="49" t="s">
        <v>122</v>
      </c>
      <c r="C342" s="2">
        <f>D342+L342+N342+P342+R342+S342+T342+U342</f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33">
        <v>0</v>
      </c>
      <c r="L342" s="32">
        <v>0</v>
      </c>
      <c r="M342" s="32">
        <v>282</v>
      </c>
      <c r="N342" s="3">
        <v>1456069.2</v>
      </c>
      <c r="O342" s="32">
        <v>0</v>
      </c>
      <c r="P342" s="32">
        <v>0</v>
      </c>
      <c r="Q342" s="32">
        <v>318</v>
      </c>
      <c r="R342" s="3">
        <f>Q342*3000</f>
        <v>954000</v>
      </c>
      <c r="S342" s="32">
        <v>0</v>
      </c>
      <c r="T342" s="32">
        <v>0</v>
      </c>
      <c r="U342" s="32">
        <v>50369.39</v>
      </c>
      <c r="V342" s="6">
        <f>N342/M342</f>
        <v>5163.3659574468084</v>
      </c>
    </row>
    <row r="343" spans="1:22" ht="40.049999999999997" customHeight="1" x14ac:dyDescent="0.3">
      <c r="A343" s="45" t="s">
        <v>127</v>
      </c>
      <c r="B343" s="45"/>
      <c r="C343" s="2">
        <f t="shared" ref="C343:U343" si="93">SUM(C344:C345)</f>
        <v>6356362.3600000003</v>
      </c>
      <c r="D343" s="2">
        <f t="shared" si="93"/>
        <v>0</v>
      </c>
      <c r="E343" s="2">
        <f t="shared" si="93"/>
        <v>0</v>
      </c>
      <c r="F343" s="2">
        <f t="shared" si="93"/>
        <v>0</v>
      </c>
      <c r="G343" s="2">
        <f t="shared" si="93"/>
        <v>0</v>
      </c>
      <c r="H343" s="2">
        <f t="shared" si="93"/>
        <v>0</v>
      </c>
      <c r="I343" s="2">
        <f t="shared" si="93"/>
        <v>0</v>
      </c>
      <c r="J343" s="2">
        <f t="shared" si="93"/>
        <v>0</v>
      </c>
      <c r="K343" s="38">
        <f t="shared" si="93"/>
        <v>0</v>
      </c>
      <c r="L343" s="2">
        <f t="shared" si="93"/>
        <v>0</v>
      </c>
      <c r="M343" s="2">
        <f t="shared" si="93"/>
        <v>1732.06</v>
      </c>
      <c r="N343" s="2">
        <f t="shared" si="93"/>
        <v>6356362.3600000003</v>
      </c>
      <c r="O343" s="2">
        <f t="shared" si="93"/>
        <v>0</v>
      </c>
      <c r="P343" s="2">
        <f t="shared" si="93"/>
        <v>0</v>
      </c>
      <c r="Q343" s="2">
        <f t="shared" si="93"/>
        <v>0</v>
      </c>
      <c r="R343" s="2">
        <f t="shared" si="93"/>
        <v>0</v>
      </c>
      <c r="S343" s="2">
        <f t="shared" si="93"/>
        <v>0</v>
      </c>
      <c r="T343" s="2">
        <f t="shared" si="93"/>
        <v>0</v>
      </c>
      <c r="U343" s="2">
        <f t="shared" si="93"/>
        <v>0</v>
      </c>
    </row>
    <row r="344" spans="1:22" ht="25.2" customHeight="1" x14ac:dyDescent="0.3">
      <c r="A344" s="46" t="s">
        <v>1250</v>
      </c>
      <c r="B344" s="49" t="s">
        <v>910</v>
      </c>
      <c r="C344" s="2">
        <f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32">
        <v>0</v>
      </c>
      <c r="S344" s="3">
        <v>0</v>
      </c>
      <c r="T344" s="3">
        <v>0</v>
      </c>
      <c r="U344" s="3">
        <v>0</v>
      </c>
      <c r="V344" s="6">
        <f>N344/M344</f>
        <v>3272.0246003168663</v>
      </c>
    </row>
    <row r="345" spans="1:22" ht="25.2" customHeight="1" x14ac:dyDescent="0.3">
      <c r="A345" s="46" t="s">
        <v>1251</v>
      </c>
      <c r="B345" s="49" t="s">
        <v>125</v>
      </c>
      <c r="C345" s="2">
        <f>D345+L345+N345+P345+R345+S345+T345+U345</f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32">
        <v>0</v>
      </c>
      <c r="S345" s="3">
        <v>0</v>
      </c>
      <c r="T345" s="3">
        <v>0</v>
      </c>
      <c r="U345" s="3">
        <v>0</v>
      </c>
      <c r="V345" s="6">
        <f>N345/M345</f>
        <v>5278.1371921038844</v>
      </c>
    </row>
    <row r="346" spans="1:22" ht="40.049999999999997" customHeight="1" x14ac:dyDescent="0.3">
      <c r="A346" s="45" t="s">
        <v>914</v>
      </c>
      <c r="B346" s="45"/>
      <c r="C346" s="2">
        <f t="shared" ref="C346:U346" si="94">SUM(C347)</f>
        <v>1450900</v>
      </c>
      <c r="D346" s="2">
        <f t="shared" si="94"/>
        <v>0</v>
      </c>
      <c r="E346" s="2">
        <f t="shared" si="94"/>
        <v>0</v>
      </c>
      <c r="F346" s="2">
        <f t="shared" si="94"/>
        <v>0</v>
      </c>
      <c r="G346" s="2">
        <f t="shared" si="94"/>
        <v>0</v>
      </c>
      <c r="H346" s="2">
        <f t="shared" si="94"/>
        <v>0</v>
      </c>
      <c r="I346" s="2">
        <f t="shared" si="94"/>
        <v>0</v>
      </c>
      <c r="J346" s="2">
        <f t="shared" si="94"/>
        <v>0</v>
      </c>
      <c r="K346" s="38">
        <f t="shared" si="94"/>
        <v>0</v>
      </c>
      <c r="L346" s="2">
        <f t="shared" si="94"/>
        <v>0</v>
      </c>
      <c r="M346" s="2">
        <f t="shared" si="94"/>
        <v>263.8</v>
      </c>
      <c r="N346" s="2">
        <f t="shared" si="94"/>
        <v>1450900</v>
      </c>
      <c r="O346" s="2">
        <f t="shared" si="94"/>
        <v>0</v>
      </c>
      <c r="P346" s="2">
        <f t="shared" si="94"/>
        <v>0</v>
      </c>
      <c r="Q346" s="2">
        <f t="shared" si="94"/>
        <v>0</v>
      </c>
      <c r="R346" s="2">
        <f t="shared" si="94"/>
        <v>0</v>
      </c>
      <c r="S346" s="2">
        <f t="shared" si="94"/>
        <v>0</v>
      </c>
      <c r="T346" s="2">
        <f t="shared" si="94"/>
        <v>0</v>
      </c>
      <c r="U346" s="2">
        <f t="shared" si="94"/>
        <v>0</v>
      </c>
      <c r="V346" s="44">
        <f>C346</f>
        <v>1450900</v>
      </c>
    </row>
    <row r="347" spans="1:22" ht="25.2" customHeight="1" x14ac:dyDescent="0.3">
      <c r="A347" s="46" t="s">
        <v>1253</v>
      </c>
      <c r="B347" s="49" t="s">
        <v>126</v>
      </c>
      <c r="C347" s="2">
        <f>D347+L347+N347+P347+R347+S347+T347+U347</f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32">
        <v>0</v>
      </c>
      <c r="S347" s="3">
        <v>0</v>
      </c>
      <c r="T347" s="3">
        <v>0</v>
      </c>
      <c r="U347" s="3">
        <v>0</v>
      </c>
      <c r="V347" s="6">
        <f>N347/M347</f>
        <v>5500</v>
      </c>
    </row>
    <row r="348" spans="1:22" ht="45" customHeight="1" x14ac:dyDescent="0.3">
      <c r="A348" s="45" t="s">
        <v>129</v>
      </c>
      <c r="B348" s="45"/>
      <c r="C348" s="2">
        <f t="shared" ref="C348:U348" si="95">SUM(C349:C351)</f>
        <v>3371774.4000000004</v>
      </c>
      <c r="D348" s="2">
        <f t="shared" si="95"/>
        <v>0</v>
      </c>
      <c r="E348" s="2">
        <f t="shared" si="95"/>
        <v>0</v>
      </c>
      <c r="F348" s="2">
        <f t="shared" si="95"/>
        <v>0</v>
      </c>
      <c r="G348" s="2">
        <f t="shared" si="95"/>
        <v>0</v>
      </c>
      <c r="H348" s="2">
        <f t="shared" si="95"/>
        <v>0</v>
      </c>
      <c r="I348" s="2">
        <f t="shared" si="95"/>
        <v>0</v>
      </c>
      <c r="J348" s="2">
        <f t="shared" si="95"/>
        <v>0</v>
      </c>
      <c r="K348" s="38">
        <f t="shared" si="95"/>
        <v>0</v>
      </c>
      <c r="L348" s="2">
        <f t="shared" si="95"/>
        <v>0</v>
      </c>
      <c r="M348" s="2">
        <f t="shared" si="95"/>
        <v>994.41000000000008</v>
      </c>
      <c r="N348" s="2">
        <f t="shared" si="95"/>
        <v>3371774.4000000004</v>
      </c>
      <c r="O348" s="2">
        <f t="shared" si="95"/>
        <v>0</v>
      </c>
      <c r="P348" s="2">
        <f t="shared" si="95"/>
        <v>0</v>
      </c>
      <c r="Q348" s="2">
        <f t="shared" si="95"/>
        <v>0</v>
      </c>
      <c r="R348" s="2">
        <f t="shared" si="95"/>
        <v>0</v>
      </c>
      <c r="S348" s="2">
        <f t="shared" si="95"/>
        <v>0</v>
      </c>
      <c r="T348" s="2">
        <f t="shared" si="95"/>
        <v>0</v>
      </c>
      <c r="U348" s="2">
        <f t="shared" si="95"/>
        <v>0</v>
      </c>
    </row>
    <row r="349" spans="1:22" ht="25.2" customHeight="1" x14ac:dyDescent="0.3">
      <c r="A349" s="34" t="s">
        <v>1252</v>
      </c>
      <c r="B349" s="49" t="s">
        <v>840</v>
      </c>
      <c r="C349" s="2">
        <f>D349+L349+N349+P349+R349+S349+T349+U349</f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3">
        <v>0</v>
      </c>
      <c r="L349" s="32">
        <v>0</v>
      </c>
      <c r="M349" s="32">
        <v>331.47</v>
      </c>
      <c r="N349" s="3">
        <v>1121745.6000000001</v>
      </c>
      <c r="O349" s="32">
        <v>0</v>
      </c>
      <c r="P349" s="32">
        <v>0</v>
      </c>
      <c r="Q349" s="32">
        <v>0</v>
      </c>
      <c r="R349" s="32">
        <v>0</v>
      </c>
      <c r="S349" s="32">
        <v>0</v>
      </c>
      <c r="T349" s="32">
        <v>0</v>
      </c>
      <c r="U349" s="32">
        <v>0</v>
      </c>
      <c r="V349" s="6">
        <f>N349/M349</f>
        <v>3384.1542221015475</v>
      </c>
    </row>
    <row r="350" spans="1:22" ht="25.2" customHeight="1" x14ac:dyDescent="0.3">
      <c r="A350" s="34" t="s">
        <v>1254</v>
      </c>
      <c r="B350" s="49" t="s">
        <v>133</v>
      </c>
      <c r="C350" s="2">
        <f>D350+L350+N350+P350+R350+S350+T350+U350</f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6">
        <f>N350/M350</f>
        <v>3381.9132953208432</v>
      </c>
    </row>
    <row r="351" spans="1:22" ht="25.2" customHeight="1" x14ac:dyDescent="0.3">
      <c r="A351" s="34" t="s">
        <v>1255</v>
      </c>
      <c r="B351" s="49" t="s">
        <v>134</v>
      </c>
      <c r="C351" s="2">
        <f>D351+L351+N351+P351+R351+S351+T351+U351</f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6">
        <f>N351/M351</f>
        <v>3406.1182007421485</v>
      </c>
    </row>
    <row r="352" spans="1:22" ht="45" customHeight="1" x14ac:dyDescent="0.3">
      <c r="A352" s="45" t="s">
        <v>135</v>
      </c>
      <c r="B352" s="45"/>
      <c r="C352" s="2">
        <f t="shared" ref="C352:U352" si="96">SUM(C353:C355)</f>
        <v>6344967.8000000007</v>
      </c>
      <c r="D352" s="2">
        <f t="shared" si="96"/>
        <v>0</v>
      </c>
      <c r="E352" s="2">
        <f t="shared" si="96"/>
        <v>0</v>
      </c>
      <c r="F352" s="2">
        <f t="shared" si="96"/>
        <v>0</v>
      </c>
      <c r="G352" s="2">
        <f t="shared" si="96"/>
        <v>0</v>
      </c>
      <c r="H352" s="2">
        <f t="shared" si="96"/>
        <v>0</v>
      </c>
      <c r="I352" s="2">
        <f t="shared" si="96"/>
        <v>0</v>
      </c>
      <c r="J352" s="2">
        <f t="shared" si="96"/>
        <v>0</v>
      </c>
      <c r="K352" s="38">
        <f t="shared" si="96"/>
        <v>0</v>
      </c>
      <c r="L352" s="2">
        <f t="shared" si="96"/>
        <v>0</v>
      </c>
      <c r="M352" s="2">
        <f t="shared" si="96"/>
        <v>1158.75</v>
      </c>
      <c r="N352" s="2">
        <f t="shared" si="96"/>
        <v>6344967.8000000007</v>
      </c>
      <c r="O352" s="2">
        <f t="shared" si="96"/>
        <v>0</v>
      </c>
      <c r="P352" s="2">
        <f t="shared" si="96"/>
        <v>0</v>
      </c>
      <c r="Q352" s="2">
        <f t="shared" si="96"/>
        <v>0</v>
      </c>
      <c r="R352" s="2">
        <f t="shared" si="96"/>
        <v>0</v>
      </c>
      <c r="S352" s="2">
        <f t="shared" si="96"/>
        <v>0</v>
      </c>
      <c r="T352" s="2">
        <f t="shared" si="96"/>
        <v>0</v>
      </c>
      <c r="U352" s="2">
        <f t="shared" si="96"/>
        <v>0</v>
      </c>
    </row>
    <row r="353" spans="1:22" ht="34.950000000000003" customHeight="1" x14ac:dyDescent="0.3">
      <c r="A353" s="34" t="s">
        <v>1256</v>
      </c>
      <c r="B353" s="49" t="s">
        <v>878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32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6">
        <f>N353/M353</f>
        <v>5462.2751721449913</v>
      </c>
    </row>
    <row r="354" spans="1:22" ht="25.2" customHeight="1" x14ac:dyDescent="0.3">
      <c r="A354" s="34" t="s">
        <v>1257</v>
      </c>
      <c r="B354" s="49" t="s">
        <v>136</v>
      </c>
      <c r="C354" s="2">
        <f>D354+L354+N354+P354+R354+S354+T354+U354</f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6">
        <f>N354/M354</f>
        <v>5465.0071839080465</v>
      </c>
    </row>
    <row r="355" spans="1:22" ht="25.2" customHeight="1" x14ac:dyDescent="0.3">
      <c r="A355" s="34" t="s">
        <v>1258</v>
      </c>
      <c r="B355" s="49" t="s">
        <v>832</v>
      </c>
      <c r="C355" s="2">
        <f>D355+L355+N355+P355+R355+S355+T355+U355</f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6">
        <f>N355/M355</f>
        <v>5500</v>
      </c>
    </row>
    <row r="356" spans="1:22" ht="45" customHeight="1" x14ac:dyDescent="0.3">
      <c r="A356" s="45" t="s">
        <v>144</v>
      </c>
      <c r="B356" s="45"/>
      <c r="C356" s="2">
        <f t="shared" ref="C356:U356" si="97">SUM(C357:C359)</f>
        <v>10538448.530000001</v>
      </c>
      <c r="D356" s="2">
        <f t="shared" si="97"/>
        <v>0</v>
      </c>
      <c r="E356" s="2">
        <f t="shared" si="97"/>
        <v>0</v>
      </c>
      <c r="F356" s="2">
        <f t="shared" si="97"/>
        <v>0</v>
      </c>
      <c r="G356" s="2">
        <f t="shared" si="97"/>
        <v>0</v>
      </c>
      <c r="H356" s="2">
        <f t="shared" si="97"/>
        <v>0</v>
      </c>
      <c r="I356" s="2">
        <f t="shared" si="97"/>
        <v>0</v>
      </c>
      <c r="J356" s="2">
        <f t="shared" si="97"/>
        <v>0</v>
      </c>
      <c r="K356" s="38">
        <f t="shared" si="97"/>
        <v>0</v>
      </c>
      <c r="L356" s="2">
        <f t="shared" si="97"/>
        <v>0</v>
      </c>
      <c r="M356" s="2">
        <f t="shared" si="97"/>
        <v>616.54999999999995</v>
      </c>
      <c r="N356" s="2">
        <f t="shared" si="97"/>
        <v>3240068.4</v>
      </c>
      <c r="O356" s="2">
        <f t="shared" si="97"/>
        <v>0</v>
      </c>
      <c r="P356" s="2">
        <f t="shared" si="97"/>
        <v>0</v>
      </c>
      <c r="Q356" s="2">
        <f t="shared" si="97"/>
        <v>2482.8000000000002</v>
      </c>
      <c r="R356" s="2">
        <f t="shared" si="97"/>
        <v>7030394.4000000004</v>
      </c>
      <c r="S356" s="2">
        <f t="shared" si="97"/>
        <v>0</v>
      </c>
      <c r="T356" s="2">
        <f t="shared" si="97"/>
        <v>0</v>
      </c>
      <c r="U356" s="2">
        <f t="shared" si="97"/>
        <v>267985.73</v>
      </c>
    </row>
    <row r="357" spans="1:22" ht="25.2" customHeight="1" x14ac:dyDescent="0.3">
      <c r="A357" s="46" t="s">
        <v>1259</v>
      </c>
      <c r="B357" s="49" t="s">
        <v>145</v>
      </c>
      <c r="C357" s="2">
        <f>D357+L357+N357+P357+R357+S357+T357+U357</f>
        <v>267985.73</v>
      </c>
      <c r="D357" s="3">
        <f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6" t="e">
        <f>N357/M357</f>
        <v>#DIV/0!</v>
      </c>
    </row>
    <row r="358" spans="1:22" ht="25.2" customHeight="1" x14ac:dyDescent="0.3">
      <c r="A358" s="46" t="s">
        <v>1260</v>
      </c>
      <c r="B358" s="49" t="s">
        <v>811</v>
      </c>
      <c r="C358" s="2">
        <f>D358+L358+N358+P358+R358+S358+T358+U358</f>
        <v>3240068.4</v>
      </c>
      <c r="D358" s="3">
        <f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6">
        <f>N358/M358</f>
        <v>5255.1591922796206</v>
      </c>
    </row>
    <row r="359" spans="1:22" ht="25.2" customHeight="1" x14ac:dyDescent="0.3">
      <c r="A359" s="46" t="s">
        <v>1261</v>
      </c>
      <c r="B359" s="49" t="s">
        <v>812</v>
      </c>
      <c r="C359" s="2">
        <f>D359+L359+N359+P359+R359+S359+T359+U359</f>
        <v>7030394.4000000004</v>
      </c>
      <c r="D359" s="3">
        <f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6" t="e">
        <f>N359/M359</f>
        <v>#DIV/0!</v>
      </c>
    </row>
    <row r="360" spans="1:22" ht="45" customHeight="1" x14ac:dyDescent="0.3">
      <c r="A360" s="45" t="s">
        <v>925</v>
      </c>
      <c r="B360" s="45"/>
      <c r="C360" s="2">
        <f t="shared" ref="C360:U360" si="98">SUM(C361)</f>
        <v>1411160.4</v>
      </c>
      <c r="D360" s="2">
        <f t="shared" si="98"/>
        <v>0</v>
      </c>
      <c r="E360" s="2">
        <f t="shared" si="98"/>
        <v>0</v>
      </c>
      <c r="F360" s="2">
        <f t="shared" si="98"/>
        <v>0</v>
      </c>
      <c r="G360" s="2">
        <f t="shared" si="98"/>
        <v>0</v>
      </c>
      <c r="H360" s="2">
        <f t="shared" si="98"/>
        <v>0</v>
      </c>
      <c r="I360" s="2">
        <f t="shared" si="98"/>
        <v>0</v>
      </c>
      <c r="J360" s="2">
        <f t="shared" si="98"/>
        <v>0</v>
      </c>
      <c r="K360" s="38">
        <f t="shared" si="98"/>
        <v>0</v>
      </c>
      <c r="L360" s="2">
        <f t="shared" si="98"/>
        <v>0</v>
      </c>
      <c r="M360" s="2">
        <f t="shared" si="98"/>
        <v>261.86</v>
      </c>
      <c r="N360" s="2">
        <f t="shared" si="98"/>
        <v>1411160.4</v>
      </c>
      <c r="O360" s="2">
        <f t="shared" si="98"/>
        <v>0</v>
      </c>
      <c r="P360" s="2">
        <f t="shared" si="98"/>
        <v>0</v>
      </c>
      <c r="Q360" s="2">
        <f t="shared" si="98"/>
        <v>0</v>
      </c>
      <c r="R360" s="2">
        <f t="shared" si="98"/>
        <v>0</v>
      </c>
      <c r="S360" s="2">
        <f t="shared" si="98"/>
        <v>0</v>
      </c>
      <c r="T360" s="2">
        <f t="shared" si="98"/>
        <v>0</v>
      </c>
      <c r="U360" s="2">
        <f t="shared" si="98"/>
        <v>0</v>
      </c>
    </row>
    <row r="361" spans="1:22" ht="25.2" customHeight="1" x14ac:dyDescent="0.3">
      <c r="A361" s="46" t="s">
        <v>1262</v>
      </c>
      <c r="B361" s="49" t="s">
        <v>150</v>
      </c>
      <c r="C361" s="2">
        <f>D361+L361+N361+P361+R361+S361+T361+U361</f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32">
        <v>0</v>
      </c>
      <c r="S361" s="3">
        <v>0</v>
      </c>
      <c r="T361" s="3">
        <v>0</v>
      </c>
      <c r="U361" s="3">
        <v>0</v>
      </c>
      <c r="V361" s="6">
        <f>N361/M361</f>
        <v>5388.9880088596956</v>
      </c>
    </row>
    <row r="362" spans="1:22" ht="45" customHeight="1" x14ac:dyDescent="0.3">
      <c r="A362" s="45" t="s">
        <v>154</v>
      </c>
      <c r="B362" s="45"/>
      <c r="C362" s="2">
        <f t="shared" ref="C362:U362" si="99">SUM(C363:C381)</f>
        <v>104574296.73999999</v>
      </c>
      <c r="D362" s="2">
        <f t="shared" si="99"/>
        <v>5442082.3500000006</v>
      </c>
      <c r="E362" s="2">
        <f t="shared" si="99"/>
        <v>2269007.5</v>
      </c>
      <c r="F362" s="2">
        <f t="shared" si="99"/>
        <v>2367392.58</v>
      </c>
      <c r="G362" s="2">
        <f t="shared" si="99"/>
        <v>247933.27000000002</v>
      </c>
      <c r="H362" s="2">
        <f t="shared" si="99"/>
        <v>38518.519999999997</v>
      </c>
      <c r="I362" s="2">
        <f t="shared" si="99"/>
        <v>519230.48</v>
      </c>
      <c r="J362" s="2">
        <f t="shared" si="99"/>
        <v>0</v>
      </c>
      <c r="K362" s="38">
        <f t="shared" si="99"/>
        <v>4</v>
      </c>
      <c r="L362" s="2">
        <f t="shared" si="99"/>
        <v>7524993.0800000001</v>
      </c>
      <c r="M362" s="2">
        <f t="shared" si="99"/>
        <v>10841.26</v>
      </c>
      <c r="N362" s="2">
        <f t="shared" si="99"/>
        <v>45370759.469999991</v>
      </c>
      <c r="O362" s="2">
        <f t="shared" si="99"/>
        <v>0</v>
      </c>
      <c r="P362" s="2">
        <f t="shared" si="99"/>
        <v>0</v>
      </c>
      <c r="Q362" s="2">
        <f t="shared" si="99"/>
        <v>19134.09</v>
      </c>
      <c r="R362" s="2">
        <f t="shared" si="99"/>
        <v>44748083.650000006</v>
      </c>
      <c r="S362" s="2">
        <f t="shared" si="99"/>
        <v>0</v>
      </c>
      <c r="T362" s="2">
        <f t="shared" si="99"/>
        <v>0</v>
      </c>
      <c r="U362" s="2">
        <f t="shared" si="99"/>
        <v>1488378.19</v>
      </c>
    </row>
    <row r="363" spans="1:22" ht="24" customHeight="1" x14ac:dyDescent="0.3">
      <c r="A363" s="46" t="s">
        <v>1263</v>
      </c>
      <c r="B363" s="49" t="s">
        <v>871</v>
      </c>
      <c r="C363" s="2">
        <f t="shared" ref="C363:C381" si="100">D363+L363+N363+P363+R363+S363+T363+U363</f>
        <v>2838709.2</v>
      </c>
      <c r="D363" s="3">
        <f t="shared" ref="D363:D381" si="101"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32">
        <v>1009.2</v>
      </c>
      <c r="N363" s="32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6">
        <f t="shared" ref="V363:V381" si="102">N363/M363</f>
        <v>2812.8311533888227</v>
      </c>
    </row>
    <row r="364" spans="1:22" ht="24" customHeight="1" x14ac:dyDescent="0.3">
      <c r="A364" s="46" t="s">
        <v>1264</v>
      </c>
      <c r="B364" s="52" t="s">
        <v>159</v>
      </c>
      <c r="C364" s="2">
        <f t="shared" si="100"/>
        <v>15553352</v>
      </c>
      <c r="D364" s="3">
        <f t="shared" si="101"/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32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6">
        <f t="shared" si="102"/>
        <v>3433.4979640718561</v>
      </c>
    </row>
    <row r="365" spans="1:22" ht="24" customHeight="1" x14ac:dyDescent="0.3">
      <c r="A365" s="46" t="s">
        <v>1265</v>
      </c>
      <c r="B365" s="49" t="s">
        <v>883</v>
      </c>
      <c r="C365" s="2">
        <f t="shared" si="100"/>
        <v>6888850.3900000006</v>
      </c>
      <c r="D365" s="3">
        <f t="shared" si="101"/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32">
        <v>0</v>
      </c>
      <c r="M365" s="3">
        <v>1620.3</v>
      </c>
      <c r="N365" s="32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6">
        <f t="shared" si="102"/>
        <v>2630.2110349935201</v>
      </c>
    </row>
    <row r="366" spans="1:22" ht="24" customHeight="1" x14ac:dyDescent="0.3">
      <c r="A366" s="46" t="s">
        <v>1266</v>
      </c>
      <c r="B366" s="52" t="s">
        <v>155</v>
      </c>
      <c r="C366" s="2">
        <f t="shared" si="100"/>
        <v>22899521.830000002</v>
      </c>
      <c r="D366" s="3">
        <f t="shared" si="10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32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6" t="e">
        <f t="shared" si="102"/>
        <v>#DIV/0!</v>
      </c>
    </row>
    <row r="367" spans="1:22" ht="24" customHeight="1" x14ac:dyDescent="0.3">
      <c r="A367" s="46" t="s">
        <v>1267</v>
      </c>
      <c r="B367" s="1" t="s">
        <v>796</v>
      </c>
      <c r="C367" s="2">
        <f t="shared" si="100"/>
        <v>4164421.8200000003</v>
      </c>
      <c r="D367" s="3">
        <f t="shared" si="101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377" si="103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6">
        <f t="shared" si="102"/>
        <v>5461.4460802088615</v>
      </c>
    </row>
    <row r="368" spans="1:22" ht="24" customHeight="1" x14ac:dyDescent="0.3">
      <c r="A368" s="46" t="s">
        <v>1268</v>
      </c>
      <c r="B368" s="1" t="s">
        <v>173</v>
      </c>
      <c r="C368" s="2">
        <f t="shared" si="100"/>
        <v>2055575.48</v>
      </c>
      <c r="D368" s="3">
        <f t="shared" si="101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3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32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6">
        <f t="shared" si="102"/>
        <v>5500</v>
      </c>
    </row>
    <row r="369" spans="1:22" ht="24" customHeight="1" x14ac:dyDescent="0.3">
      <c r="A369" s="46" t="s">
        <v>1269</v>
      </c>
      <c r="B369" s="1" t="s">
        <v>166</v>
      </c>
      <c r="C369" s="2">
        <f t="shared" si="100"/>
        <v>7302495.8099999996</v>
      </c>
      <c r="D369" s="3">
        <f t="shared" si="101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3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6">
        <f t="shared" si="102"/>
        <v>5500</v>
      </c>
    </row>
    <row r="370" spans="1:22" ht="24" customHeight="1" x14ac:dyDescent="0.3">
      <c r="A370" s="46" t="s">
        <v>1270</v>
      </c>
      <c r="B370" s="1" t="s">
        <v>168</v>
      </c>
      <c r="C370" s="2">
        <f t="shared" si="100"/>
        <v>3696865.6</v>
      </c>
      <c r="D370" s="3">
        <f t="shared" si="101"/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3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S1279</f>
        <v>0</v>
      </c>
      <c r="T370" s="3">
        <v>0</v>
      </c>
      <c r="U370" s="3">
        <v>0</v>
      </c>
      <c r="V370" s="6">
        <f t="shared" si="102"/>
        <v>5236.1227425283678</v>
      </c>
    </row>
    <row r="371" spans="1:22" ht="24" customHeight="1" x14ac:dyDescent="0.3">
      <c r="A371" s="46" t="s">
        <v>1271</v>
      </c>
      <c r="B371" s="52" t="s">
        <v>169</v>
      </c>
      <c r="C371" s="2">
        <f t="shared" si="100"/>
        <v>4206395.42</v>
      </c>
      <c r="D371" s="3">
        <f t="shared" si="101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376" si="104">400*0</f>
        <v>0</v>
      </c>
      <c r="I371" s="3">
        <v>39136.800000000003</v>
      </c>
      <c r="J371" s="3">
        <f t="shared" si="103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S1321</f>
        <v>0</v>
      </c>
      <c r="T371" s="3">
        <v>0</v>
      </c>
      <c r="U371" s="3">
        <v>131429.82</v>
      </c>
      <c r="V371" s="6">
        <f t="shared" si="102"/>
        <v>5431.1954769884114</v>
      </c>
    </row>
    <row r="372" spans="1:22" ht="24" customHeight="1" x14ac:dyDescent="0.3">
      <c r="A372" s="46" t="s">
        <v>1272</v>
      </c>
      <c r="B372" s="52" t="s">
        <v>170</v>
      </c>
      <c r="C372" s="2">
        <f t="shared" si="100"/>
        <v>4483430.55</v>
      </c>
      <c r="D372" s="3">
        <f t="shared" si="101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4"/>
        <v>0</v>
      </c>
      <c r="I372" s="3">
        <v>96507.6</v>
      </c>
      <c r="J372" s="3">
        <f t="shared" si="103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S1322</f>
        <v>0</v>
      </c>
      <c r="T372" s="3">
        <v>0</v>
      </c>
      <c r="U372" s="3">
        <v>130625.35</v>
      </c>
      <c r="V372" s="6">
        <f t="shared" si="102"/>
        <v>4970.7021551296057</v>
      </c>
    </row>
    <row r="373" spans="1:22" ht="24" customHeight="1" x14ac:dyDescent="0.3">
      <c r="A373" s="46" t="s">
        <v>1273</v>
      </c>
      <c r="B373" s="52" t="s">
        <v>172</v>
      </c>
      <c r="C373" s="2">
        <f t="shared" si="100"/>
        <v>907862.81</v>
      </c>
      <c r="D373" s="3">
        <f t="shared" si="101"/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4"/>
        <v>0</v>
      </c>
      <c r="I373" s="3">
        <v>98864.4</v>
      </c>
      <c r="J373" s="3">
        <f t="shared" si="103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6" t="e">
        <f t="shared" si="102"/>
        <v>#DIV/0!</v>
      </c>
    </row>
    <row r="374" spans="1:22" ht="24" customHeight="1" x14ac:dyDescent="0.3">
      <c r="A374" s="46" t="s">
        <v>1274</v>
      </c>
      <c r="B374" s="1" t="s">
        <v>171</v>
      </c>
      <c r="C374" s="2">
        <f t="shared" si="100"/>
        <v>2827000</v>
      </c>
      <c r="D374" s="3">
        <f t="shared" si="101"/>
        <v>243498</v>
      </c>
      <c r="E374" s="3">
        <v>123780</v>
      </c>
      <c r="F374" s="3">
        <v>119718</v>
      </c>
      <c r="G374" s="3">
        <v>0</v>
      </c>
      <c r="H374" s="3">
        <f t="shared" si="104"/>
        <v>0</v>
      </c>
      <c r="I374" s="3">
        <v>0</v>
      </c>
      <c r="J374" s="3">
        <f t="shared" si="103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6">
        <f t="shared" si="102"/>
        <v>5421.7567461869376</v>
      </c>
    </row>
    <row r="375" spans="1:22" ht="24" customHeight="1" x14ac:dyDescent="0.3">
      <c r="A375" s="46" t="s">
        <v>1275</v>
      </c>
      <c r="B375" s="1" t="s">
        <v>174</v>
      </c>
      <c r="C375" s="2">
        <f t="shared" si="100"/>
        <v>3760018.46</v>
      </c>
      <c r="D375" s="3">
        <f t="shared" si="101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4"/>
        <v>0</v>
      </c>
      <c r="I375" s="3">
        <v>0</v>
      </c>
      <c r="J375" s="3">
        <f t="shared" si="103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32">
        <v>599.04</v>
      </c>
      <c r="R375" s="3">
        <v>1593271.2</v>
      </c>
      <c r="S375" s="3">
        <f>S1135</f>
        <v>0</v>
      </c>
      <c r="T375" s="3">
        <v>0</v>
      </c>
      <c r="U375" s="3">
        <v>76802.259999999995</v>
      </c>
      <c r="V375" s="6">
        <f t="shared" si="102"/>
        <v>5500</v>
      </c>
    </row>
    <row r="376" spans="1:22" ht="24" customHeight="1" x14ac:dyDescent="0.3">
      <c r="A376" s="46" t="s">
        <v>1276</v>
      </c>
      <c r="B376" s="1" t="s">
        <v>175</v>
      </c>
      <c r="C376" s="2">
        <f t="shared" si="100"/>
        <v>4205787.43</v>
      </c>
      <c r="D376" s="3">
        <f t="shared" si="101"/>
        <v>377236.8</v>
      </c>
      <c r="E376" s="3">
        <v>177414</v>
      </c>
      <c r="F376" s="3">
        <v>199822.8</v>
      </c>
      <c r="G376" s="3">
        <v>0</v>
      </c>
      <c r="H376" s="3">
        <f t="shared" si="104"/>
        <v>0</v>
      </c>
      <c r="I376" s="3">
        <v>0</v>
      </c>
      <c r="J376" s="3">
        <f t="shared" si="103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6">
        <f t="shared" si="102"/>
        <v>5161.1748458692973</v>
      </c>
    </row>
    <row r="377" spans="1:22" ht="24" customHeight="1" x14ac:dyDescent="0.3">
      <c r="A377" s="46" t="s">
        <v>1277</v>
      </c>
      <c r="B377" s="1" t="s">
        <v>177</v>
      </c>
      <c r="C377" s="2">
        <f t="shared" si="100"/>
        <v>3550062.4</v>
      </c>
      <c r="D377" s="3">
        <f t="shared" si="101"/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3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6">
        <f t="shared" si="102"/>
        <v>4853.6464471403815</v>
      </c>
    </row>
    <row r="378" spans="1:22" ht="24" customHeight="1" x14ac:dyDescent="0.3">
      <c r="A378" s="46" t="s">
        <v>1278</v>
      </c>
      <c r="B378" s="52" t="s">
        <v>178</v>
      </c>
      <c r="C378" s="2">
        <f t="shared" si="100"/>
        <v>5562292.6799999997</v>
      </c>
      <c r="D378" s="3">
        <f t="shared" si="10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>Q378*3000</f>
        <v>2198340</v>
      </c>
      <c r="S378" s="3">
        <f>S860</f>
        <v>0</v>
      </c>
      <c r="T378" s="3">
        <v>0</v>
      </c>
      <c r="U378" s="3">
        <v>0</v>
      </c>
      <c r="V378" s="6">
        <f t="shared" si="102"/>
        <v>5478.1257511358635</v>
      </c>
    </row>
    <row r="379" spans="1:22" ht="24" customHeight="1" x14ac:dyDescent="0.3">
      <c r="A379" s="46" t="s">
        <v>1279</v>
      </c>
      <c r="B379" s="52" t="s">
        <v>179</v>
      </c>
      <c r="C379" s="2">
        <f t="shared" si="100"/>
        <v>2632060.21</v>
      </c>
      <c r="D379" s="3">
        <f t="shared" si="101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S868</f>
        <v>0</v>
      </c>
      <c r="T379" s="3">
        <v>0</v>
      </c>
      <c r="U379" s="3">
        <v>104123.81</v>
      </c>
      <c r="V379" s="6">
        <f t="shared" si="102"/>
        <v>4886.3783393501808</v>
      </c>
    </row>
    <row r="380" spans="1:22" ht="24" customHeight="1" x14ac:dyDescent="0.3">
      <c r="A380" s="46" t="s">
        <v>1280</v>
      </c>
      <c r="B380" s="1" t="s">
        <v>180</v>
      </c>
      <c r="C380" s="2">
        <f t="shared" si="100"/>
        <v>4331116.6500000004</v>
      </c>
      <c r="D380" s="3">
        <f t="shared" si="101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>Q380*3000</f>
        <v>0</v>
      </c>
      <c r="S380" s="3">
        <v>0</v>
      </c>
      <c r="T380" s="3">
        <v>0</v>
      </c>
      <c r="U380" s="3">
        <v>0</v>
      </c>
      <c r="V380" s="6">
        <f t="shared" si="102"/>
        <v>4767.5894655732291</v>
      </c>
    </row>
    <row r="381" spans="1:22" ht="24" customHeight="1" x14ac:dyDescent="0.3">
      <c r="A381" s="46" t="s">
        <v>1281</v>
      </c>
      <c r="B381" s="1" t="s">
        <v>181</v>
      </c>
      <c r="C381" s="2">
        <f t="shared" si="100"/>
        <v>2708478</v>
      </c>
      <c r="D381" s="3">
        <f t="shared" si="101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>Q381*3000</f>
        <v>0</v>
      </c>
      <c r="S381" s="3">
        <v>0</v>
      </c>
      <c r="T381" s="3">
        <v>0</v>
      </c>
      <c r="U381" s="3">
        <v>0</v>
      </c>
      <c r="V381" s="6">
        <f t="shared" si="102"/>
        <v>3261.9688794681565</v>
      </c>
    </row>
    <row r="382" spans="1:22" ht="40.049999999999997" customHeight="1" x14ac:dyDescent="0.3">
      <c r="A382" s="45" t="s">
        <v>209</v>
      </c>
      <c r="B382" s="45"/>
      <c r="C382" s="2">
        <f t="shared" ref="C382:U382" si="105">SUM(C383:C388)</f>
        <v>13551416.550000001</v>
      </c>
      <c r="D382" s="2">
        <f t="shared" si="105"/>
        <v>6115414</v>
      </c>
      <c r="E382" s="2">
        <f t="shared" si="105"/>
        <v>1048687.5</v>
      </c>
      <c r="F382" s="2">
        <f t="shared" si="105"/>
        <v>2956035.6</v>
      </c>
      <c r="G382" s="2">
        <f t="shared" si="105"/>
        <v>671670</v>
      </c>
      <c r="H382" s="2">
        <f t="shared" si="105"/>
        <v>780708.4</v>
      </c>
      <c r="I382" s="2">
        <f t="shared" si="105"/>
        <v>658312.5</v>
      </c>
      <c r="J382" s="2">
        <f t="shared" si="105"/>
        <v>0</v>
      </c>
      <c r="K382" s="38">
        <f t="shared" si="105"/>
        <v>0</v>
      </c>
      <c r="L382" s="2">
        <f t="shared" si="105"/>
        <v>0</v>
      </c>
      <c r="M382" s="2">
        <f t="shared" si="105"/>
        <v>842.36</v>
      </c>
      <c r="N382" s="2">
        <f t="shared" si="105"/>
        <v>4462470</v>
      </c>
      <c r="O382" s="2">
        <f t="shared" si="105"/>
        <v>0</v>
      </c>
      <c r="P382" s="2">
        <f t="shared" si="105"/>
        <v>0</v>
      </c>
      <c r="Q382" s="2">
        <f t="shared" si="105"/>
        <v>842.63999999999987</v>
      </c>
      <c r="R382" s="2">
        <f t="shared" si="105"/>
        <v>2430112.7999999998</v>
      </c>
      <c r="S382" s="2">
        <f t="shared" si="105"/>
        <v>0</v>
      </c>
      <c r="T382" s="2">
        <f t="shared" si="105"/>
        <v>0</v>
      </c>
      <c r="U382" s="2">
        <f t="shared" si="105"/>
        <v>543419.75</v>
      </c>
    </row>
    <row r="383" spans="1:22" ht="24" customHeight="1" x14ac:dyDescent="0.3">
      <c r="A383" s="46" t="s">
        <v>1282</v>
      </c>
      <c r="B383" s="49" t="s">
        <v>201</v>
      </c>
      <c r="C383" s="2">
        <f t="shared" ref="C383:C388" si="106">D383+L383+N383+P383+R383+S383+T383+U383</f>
        <v>121935.02</v>
      </c>
      <c r="D383" s="3">
        <f t="shared" ref="D383:D388" si="107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>350*0</f>
        <v>0</v>
      </c>
      <c r="K383" s="4">
        <v>0</v>
      </c>
      <c r="L383" s="3">
        <v>0</v>
      </c>
      <c r="M383" s="32">
        <v>0</v>
      </c>
      <c r="N383" s="3">
        <v>0</v>
      </c>
      <c r="O383" s="3">
        <v>0</v>
      </c>
      <c r="P383" s="3">
        <v>0</v>
      </c>
      <c r="Q383" s="3">
        <v>0</v>
      </c>
      <c r="R383" s="3">
        <f>Q383*3000</f>
        <v>0</v>
      </c>
      <c r="S383" s="3">
        <v>0</v>
      </c>
      <c r="T383" s="3">
        <v>0</v>
      </c>
      <c r="U383" s="3">
        <v>121935.02</v>
      </c>
      <c r="V383" s="6" t="e">
        <f t="shared" ref="V383:V388" si="108">N383/M383</f>
        <v>#DIV/0!</v>
      </c>
    </row>
    <row r="384" spans="1:22" ht="24" customHeight="1" x14ac:dyDescent="0.3">
      <c r="A384" s="46" t="s">
        <v>1283</v>
      </c>
      <c r="B384" s="49" t="s">
        <v>202</v>
      </c>
      <c r="C384" s="2">
        <f t="shared" si="106"/>
        <v>100538.12</v>
      </c>
      <c r="D384" s="3">
        <f t="shared" si="107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>350*0</f>
        <v>0</v>
      </c>
      <c r="K384" s="33">
        <v>0</v>
      </c>
      <c r="L384" s="32">
        <v>0</v>
      </c>
      <c r="M384" s="32">
        <v>0</v>
      </c>
      <c r="N384" s="3">
        <v>0</v>
      </c>
      <c r="O384" s="32">
        <v>0</v>
      </c>
      <c r="P384" s="32">
        <v>0</v>
      </c>
      <c r="Q384" s="32">
        <v>0</v>
      </c>
      <c r="R384" s="3">
        <f>Q384*3000</f>
        <v>0</v>
      </c>
      <c r="S384" s="32">
        <v>0</v>
      </c>
      <c r="T384" s="3">
        <v>0</v>
      </c>
      <c r="U384" s="32">
        <v>100538.12</v>
      </c>
      <c r="V384" s="6" t="e">
        <f t="shared" si="108"/>
        <v>#DIV/0!</v>
      </c>
    </row>
    <row r="385" spans="1:22" ht="24" customHeight="1" x14ac:dyDescent="0.3">
      <c r="A385" s="46" t="s">
        <v>1284</v>
      </c>
      <c r="B385" s="49" t="s">
        <v>203</v>
      </c>
      <c r="C385" s="2">
        <f t="shared" si="106"/>
        <v>3941673.34</v>
      </c>
      <c r="D385" s="3">
        <f t="shared" si="107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>350*0</f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6">
        <f t="shared" si="108"/>
        <v>5280.8916927766959</v>
      </c>
    </row>
    <row r="386" spans="1:22" ht="24" customHeight="1" x14ac:dyDescent="0.3">
      <c r="A386" s="46" t="s">
        <v>1285</v>
      </c>
      <c r="B386" s="49" t="s">
        <v>892</v>
      </c>
      <c r="C386" s="2">
        <f t="shared" si="106"/>
        <v>3529360.8</v>
      </c>
      <c r="D386" s="3">
        <f t="shared" si="107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6">
        <f t="shared" si="108"/>
        <v>5318.8864864864863</v>
      </c>
    </row>
    <row r="387" spans="1:22" ht="24" customHeight="1" x14ac:dyDescent="0.3">
      <c r="A387" s="46" t="s">
        <v>1286</v>
      </c>
      <c r="B387" s="49" t="s">
        <v>901</v>
      </c>
      <c r="C387" s="2">
        <f t="shared" si="106"/>
        <v>3200647.32</v>
      </c>
      <c r="D387" s="3">
        <f t="shared" si="107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>Q387*3000</f>
        <v>0</v>
      </c>
      <c r="S387" s="3">
        <v>0</v>
      </c>
      <c r="T387" s="3">
        <v>0</v>
      </c>
      <c r="U387" s="3">
        <v>125061.32</v>
      </c>
      <c r="V387" s="6" t="e">
        <f t="shared" si="108"/>
        <v>#DIV/0!</v>
      </c>
    </row>
    <row r="388" spans="1:22" ht="24" customHeight="1" x14ac:dyDescent="0.3">
      <c r="A388" s="46" t="s">
        <v>1287</v>
      </c>
      <c r="B388" s="49" t="s">
        <v>902</v>
      </c>
      <c r="C388" s="2">
        <f t="shared" si="106"/>
        <v>2657261.9500000002</v>
      </c>
      <c r="D388" s="3">
        <f t="shared" si="107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>Q388*3000</f>
        <v>0</v>
      </c>
      <c r="S388" s="3">
        <v>0</v>
      </c>
      <c r="T388" s="3">
        <v>0</v>
      </c>
      <c r="U388" s="3">
        <v>125633.95</v>
      </c>
      <c r="V388" s="6" t="e">
        <f t="shared" si="108"/>
        <v>#DIV/0!</v>
      </c>
    </row>
    <row r="389" spans="1:22" ht="40.049999999999997" customHeight="1" x14ac:dyDescent="0.3">
      <c r="A389" s="45" t="s">
        <v>213</v>
      </c>
      <c r="B389" s="45"/>
      <c r="C389" s="2">
        <f t="shared" ref="C389:U389" si="109">SUM(C390:C396)</f>
        <v>10442222.16</v>
      </c>
      <c r="D389" s="2">
        <f t="shared" si="109"/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38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4" customHeight="1" x14ac:dyDescent="0.3">
      <c r="A390" s="46" t="s">
        <v>1288</v>
      </c>
      <c r="B390" s="49" t="s">
        <v>214</v>
      </c>
      <c r="C390" s="2">
        <f t="shared" ref="C390:C396" si="110">D390+L390+N390+P390+R390+S390+T390+U390</f>
        <v>111850</v>
      </c>
      <c r="D390" s="3">
        <f t="shared" ref="D390:D396" si="111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6" t="e">
        <f t="shared" ref="V390:V396" si="112">N390/M390</f>
        <v>#DIV/0!</v>
      </c>
    </row>
    <row r="391" spans="1:22" ht="24" customHeight="1" x14ac:dyDescent="0.3">
      <c r="A391" s="46" t="s">
        <v>1289</v>
      </c>
      <c r="B391" s="49" t="s">
        <v>215</v>
      </c>
      <c r="C391" s="2">
        <f t="shared" si="110"/>
        <v>111850</v>
      </c>
      <c r="D391" s="3">
        <f t="shared" si="111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6" t="e">
        <f t="shared" si="112"/>
        <v>#DIV/0!</v>
      </c>
    </row>
    <row r="392" spans="1:22" ht="24" customHeight="1" x14ac:dyDescent="0.3">
      <c r="A392" s="46" t="s">
        <v>1290</v>
      </c>
      <c r="B392" s="49" t="s">
        <v>219</v>
      </c>
      <c r="C392" s="2">
        <f t="shared" si="110"/>
        <v>4580950</v>
      </c>
      <c r="D392" s="3">
        <f t="shared" si="111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6">
        <f t="shared" si="112"/>
        <v>5588.8177940280311</v>
      </c>
    </row>
    <row r="393" spans="1:22" ht="24" customHeight="1" x14ac:dyDescent="0.3">
      <c r="A393" s="46" t="s">
        <v>1291</v>
      </c>
      <c r="B393" s="49" t="s">
        <v>222</v>
      </c>
      <c r="C393" s="2">
        <f t="shared" si="110"/>
        <v>69659.09</v>
      </c>
      <c r="D393" s="3">
        <f t="shared" si="111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>Q393*3000</f>
        <v>0</v>
      </c>
      <c r="S393" s="3">
        <v>0</v>
      </c>
      <c r="T393" s="3">
        <v>0</v>
      </c>
      <c r="U393" s="3">
        <v>69659.09</v>
      </c>
      <c r="V393" s="6" t="e">
        <f t="shared" si="112"/>
        <v>#DIV/0!</v>
      </c>
    </row>
    <row r="394" spans="1:22" ht="24" customHeight="1" x14ac:dyDescent="0.3">
      <c r="A394" s="46" t="s">
        <v>1292</v>
      </c>
      <c r="B394" s="49" t="s">
        <v>225</v>
      </c>
      <c r="C394" s="2">
        <f t="shared" si="110"/>
        <v>50494.63</v>
      </c>
      <c r="D394" s="3">
        <f t="shared" si="111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>Q394*3000</f>
        <v>0</v>
      </c>
      <c r="S394" s="3">
        <v>0</v>
      </c>
      <c r="T394" s="3">
        <v>0</v>
      </c>
      <c r="U394" s="3">
        <v>50494.63</v>
      </c>
      <c r="V394" s="6" t="e">
        <f t="shared" si="112"/>
        <v>#DIV/0!</v>
      </c>
    </row>
    <row r="395" spans="1:22" ht="24" customHeight="1" x14ac:dyDescent="0.3">
      <c r="A395" s="46" t="s">
        <v>1293</v>
      </c>
      <c r="B395" s="49" t="s">
        <v>838</v>
      </c>
      <c r="C395" s="2">
        <f t="shared" si="110"/>
        <v>2996027.44</v>
      </c>
      <c r="D395" s="3">
        <f t="shared" si="111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6">
        <f t="shared" si="112"/>
        <v>3656.7428363371569</v>
      </c>
    </row>
    <row r="396" spans="1:22" ht="24" customHeight="1" x14ac:dyDescent="0.3">
      <c r="A396" s="46" t="s">
        <v>1294</v>
      </c>
      <c r="B396" s="49" t="s">
        <v>227</v>
      </c>
      <c r="C396" s="2">
        <f t="shared" si="110"/>
        <v>2521391</v>
      </c>
      <c r="D396" s="3">
        <f t="shared" si="111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6">
        <f t="shared" si="112"/>
        <v>5352.3889107353516</v>
      </c>
    </row>
    <row r="397" spans="1:22" ht="45" customHeight="1" x14ac:dyDescent="0.3">
      <c r="A397" s="45" t="s">
        <v>926</v>
      </c>
      <c r="B397" s="45"/>
      <c r="C397" s="2">
        <f t="shared" ref="C397:U397" si="113">SUM(C398)</f>
        <v>3461922.2</v>
      </c>
      <c r="D397" s="2">
        <f t="shared" si="113"/>
        <v>0</v>
      </c>
      <c r="E397" s="2">
        <f t="shared" si="113"/>
        <v>0</v>
      </c>
      <c r="F397" s="2">
        <f t="shared" si="113"/>
        <v>0</v>
      </c>
      <c r="G397" s="2">
        <f t="shared" si="113"/>
        <v>0</v>
      </c>
      <c r="H397" s="2">
        <f t="shared" si="113"/>
        <v>0</v>
      </c>
      <c r="I397" s="2">
        <f t="shared" si="113"/>
        <v>0</v>
      </c>
      <c r="J397" s="2">
        <f t="shared" si="113"/>
        <v>0</v>
      </c>
      <c r="K397" s="38">
        <f t="shared" si="113"/>
        <v>0</v>
      </c>
      <c r="L397" s="2">
        <f t="shared" si="113"/>
        <v>0</v>
      </c>
      <c r="M397" s="2">
        <f t="shared" si="113"/>
        <v>372</v>
      </c>
      <c r="N397" s="2">
        <f t="shared" si="113"/>
        <v>2039699.6</v>
      </c>
      <c r="O397" s="2">
        <f t="shared" si="113"/>
        <v>0</v>
      </c>
      <c r="P397" s="2">
        <f t="shared" si="113"/>
        <v>0</v>
      </c>
      <c r="Q397" s="2">
        <f t="shared" si="113"/>
        <v>258</v>
      </c>
      <c r="R397" s="2">
        <f t="shared" si="113"/>
        <v>1422222.6</v>
      </c>
      <c r="S397" s="2">
        <f t="shared" si="113"/>
        <v>0</v>
      </c>
      <c r="T397" s="2">
        <f t="shared" si="113"/>
        <v>0</v>
      </c>
      <c r="U397" s="2">
        <f t="shared" si="113"/>
        <v>0</v>
      </c>
      <c r="V397" s="44">
        <f>C397</f>
        <v>3461922.2</v>
      </c>
    </row>
    <row r="398" spans="1:22" ht="25.2" customHeight="1" x14ac:dyDescent="0.3">
      <c r="A398" s="46" t="s">
        <v>1295</v>
      </c>
      <c r="B398" s="49" t="s">
        <v>839</v>
      </c>
      <c r="C398" s="2">
        <f>D398+L398+N398+P398+R398+S398+T398+U398</f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6">
        <f>N398/M398</f>
        <v>5483.0634408602155</v>
      </c>
    </row>
    <row r="399" spans="1:22" ht="45" customHeight="1" x14ac:dyDescent="0.3">
      <c r="A399" s="45" t="s">
        <v>255</v>
      </c>
      <c r="B399" s="45"/>
      <c r="C399" s="2">
        <f t="shared" ref="C399:U399" si="114">SUM(C400:C415)</f>
        <v>62833535.530000001</v>
      </c>
      <c r="D399" s="2">
        <f t="shared" si="114"/>
        <v>10980453.6</v>
      </c>
      <c r="E399" s="2">
        <f t="shared" si="114"/>
        <v>3644816.45</v>
      </c>
      <c r="F399" s="2">
        <f t="shared" si="114"/>
        <v>5291943.43</v>
      </c>
      <c r="G399" s="2">
        <f t="shared" si="114"/>
        <v>1052744.0799999998</v>
      </c>
      <c r="H399" s="2">
        <f t="shared" si="114"/>
        <v>0</v>
      </c>
      <c r="I399" s="2">
        <f t="shared" si="114"/>
        <v>990949.64</v>
      </c>
      <c r="J399" s="2">
        <f t="shared" si="114"/>
        <v>0</v>
      </c>
      <c r="K399" s="38">
        <f t="shared" si="114"/>
        <v>0</v>
      </c>
      <c r="L399" s="2">
        <f t="shared" si="114"/>
        <v>0</v>
      </c>
      <c r="M399" s="2">
        <f t="shared" si="114"/>
        <v>7794.04</v>
      </c>
      <c r="N399" s="2">
        <f t="shared" si="114"/>
        <v>34238622.810000002</v>
      </c>
      <c r="O399" s="2">
        <f t="shared" si="114"/>
        <v>163.4</v>
      </c>
      <c r="P399" s="2">
        <f t="shared" si="114"/>
        <v>124568.4</v>
      </c>
      <c r="Q399" s="2">
        <f t="shared" si="114"/>
        <v>5912</v>
      </c>
      <c r="R399" s="2">
        <f t="shared" si="114"/>
        <v>15662558.599999998</v>
      </c>
      <c r="S399" s="2">
        <f t="shared" si="114"/>
        <v>0</v>
      </c>
      <c r="T399" s="2">
        <f t="shared" si="114"/>
        <v>0</v>
      </c>
      <c r="U399" s="2">
        <f t="shared" si="114"/>
        <v>1827332.12</v>
      </c>
    </row>
    <row r="400" spans="1:22" ht="25.2" customHeight="1" x14ac:dyDescent="0.3">
      <c r="A400" s="46" t="s">
        <v>1296</v>
      </c>
      <c r="B400" s="49" t="s">
        <v>913</v>
      </c>
      <c r="C400" s="2">
        <f t="shared" ref="C400:C415" si="115">D400+L400+N400+P400+R400+S400+T400+U400</f>
        <v>460135.79</v>
      </c>
      <c r="D400" s="3">
        <f t="shared" ref="D400:D415" si="116">SUM(E400:J400)</f>
        <v>0</v>
      </c>
      <c r="E400" s="32">
        <v>0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33">
        <v>0</v>
      </c>
      <c r="L400" s="32">
        <v>0</v>
      </c>
      <c r="M400" s="32">
        <v>0</v>
      </c>
      <c r="N400" s="32">
        <v>0</v>
      </c>
      <c r="O400" s="32">
        <v>0</v>
      </c>
      <c r="P400" s="32">
        <v>0</v>
      </c>
      <c r="Q400" s="32">
        <v>0</v>
      </c>
      <c r="R400" s="3">
        <f>Q400*3000</f>
        <v>0</v>
      </c>
      <c r="S400" s="32">
        <v>0</v>
      </c>
      <c r="T400" s="32">
        <v>0</v>
      </c>
      <c r="U400" s="32">
        <v>460135.79</v>
      </c>
      <c r="V400" s="6" t="e">
        <f t="shared" ref="V400:V415" si="117">N400/M400</f>
        <v>#DIV/0!</v>
      </c>
    </row>
    <row r="401" spans="1:22" ht="25.2" customHeight="1" x14ac:dyDescent="0.3">
      <c r="A401" s="46" t="s">
        <v>1297</v>
      </c>
      <c r="B401" s="53" t="s">
        <v>233</v>
      </c>
      <c r="C401" s="2">
        <f t="shared" si="115"/>
        <v>9974525.0099999998</v>
      </c>
      <c r="D401" s="3">
        <f t="shared" si="116"/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6">
        <f t="shared" si="117"/>
        <v>5143.8287013169611</v>
      </c>
    </row>
    <row r="402" spans="1:22" ht="25.2" customHeight="1" x14ac:dyDescent="0.3">
      <c r="A402" s="46" t="s">
        <v>1298</v>
      </c>
      <c r="B402" s="49" t="s">
        <v>235</v>
      </c>
      <c r="C402" s="2">
        <f t="shared" si="115"/>
        <v>3360072</v>
      </c>
      <c r="D402" s="3">
        <f t="shared" si="11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6">
        <f t="shared" si="117"/>
        <v>3633.0994215278151</v>
      </c>
    </row>
    <row r="403" spans="1:22" ht="24.6" customHeight="1" x14ac:dyDescent="0.3">
      <c r="A403" s="46" t="s">
        <v>1299</v>
      </c>
      <c r="B403" s="53" t="s">
        <v>234</v>
      </c>
      <c r="C403" s="2">
        <f t="shared" si="115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>400*0</f>
        <v>0</v>
      </c>
      <c r="I403" s="3">
        <v>0</v>
      </c>
      <c r="J403" s="3">
        <f t="shared" ref="J403:J412" si="118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>Q403*3000</f>
        <v>0</v>
      </c>
      <c r="S403" s="3">
        <v>0</v>
      </c>
      <c r="T403" s="3">
        <v>0</v>
      </c>
      <c r="U403" s="3">
        <v>140000.76</v>
      </c>
      <c r="V403" s="6" t="e">
        <f t="shared" si="117"/>
        <v>#DIV/0!</v>
      </c>
    </row>
    <row r="404" spans="1:22" ht="25.2" customHeight="1" x14ac:dyDescent="0.3">
      <c r="A404" s="46" t="s">
        <v>1300</v>
      </c>
      <c r="B404" s="53" t="s">
        <v>237</v>
      </c>
      <c r="C404" s="2">
        <f t="shared" si="115"/>
        <v>7813966.8300000001</v>
      </c>
      <c r="D404" s="3">
        <f t="shared" si="116"/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 t="shared" si="118"/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6">
        <f t="shared" si="117"/>
        <v>3168.6936678130687</v>
      </c>
    </row>
    <row r="405" spans="1:22" ht="25.2" customHeight="1" x14ac:dyDescent="0.3">
      <c r="A405" s="46" t="s">
        <v>1301</v>
      </c>
      <c r="B405" s="53" t="s">
        <v>239</v>
      </c>
      <c r="C405" s="2">
        <f t="shared" si="115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>400*0</f>
        <v>0</v>
      </c>
      <c r="I405" s="3">
        <v>0</v>
      </c>
      <c r="J405" s="3">
        <f t="shared" si="118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6" t="e">
        <f t="shared" si="117"/>
        <v>#DIV/0!</v>
      </c>
    </row>
    <row r="406" spans="1:22" ht="25.2" customHeight="1" x14ac:dyDescent="0.3">
      <c r="A406" s="46" t="s">
        <v>1302</v>
      </c>
      <c r="B406" s="53" t="s">
        <v>240</v>
      </c>
      <c r="C406" s="2">
        <f t="shared" si="115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>400*0</f>
        <v>0</v>
      </c>
      <c r="I406" s="3">
        <v>0</v>
      </c>
      <c r="J406" s="3">
        <f t="shared" si="118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6">
        <f t="shared" si="117"/>
        <v>3208.7900414937762</v>
      </c>
    </row>
    <row r="407" spans="1:22" ht="25.2" customHeight="1" x14ac:dyDescent="0.3">
      <c r="A407" s="46" t="s">
        <v>1303</v>
      </c>
      <c r="B407" s="53" t="s">
        <v>241</v>
      </c>
      <c r="C407" s="2">
        <f t="shared" si="115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18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6">
        <f t="shared" si="117"/>
        <v>5323.0475524475523</v>
      </c>
    </row>
    <row r="408" spans="1:22" ht="25.2" customHeight="1" x14ac:dyDescent="0.3">
      <c r="A408" s="46" t="s">
        <v>1304</v>
      </c>
      <c r="B408" s="53" t="s">
        <v>242</v>
      </c>
      <c r="C408" s="2">
        <f t="shared" si="115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>400*0</f>
        <v>0</v>
      </c>
      <c r="I408" s="3">
        <v>193498.8</v>
      </c>
      <c r="J408" s="3">
        <f t="shared" si="118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6">
        <f t="shared" si="117"/>
        <v>5353.9823008849553</v>
      </c>
    </row>
    <row r="409" spans="1:22" ht="25.2" customHeight="1" x14ac:dyDescent="0.3">
      <c r="A409" s="46" t="s">
        <v>1305</v>
      </c>
      <c r="B409" s="53" t="s">
        <v>238</v>
      </c>
      <c r="C409" s="2">
        <f t="shared" si="115"/>
        <v>2539190.7999999998</v>
      </c>
      <c r="D409" s="3">
        <f t="shared" si="116"/>
        <v>133339.20000000001</v>
      </c>
      <c r="E409" s="3">
        <v>133339.20000000001</v>
      </c>
      <c r="F409" s="3">
        <v>0</v>
      </c>
      <c r="G409" s="3">
        <v>0</v>
      </c>
      <c r="H409" s="3">
        <f>400*0</f>
        <v>0</v>
      </c>
      <c r="I409" s="3">
        <v>0</v>
      </c>
      <c r="J409" s="3">
        <f t="shared" si="118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6">
        <f t="shared" si="117"/>
        <v>3692.088888888889</v>
      </c>
    </row>
    <row r="410" spans="1:22" ht="25.2" customHeight="1" x14ac:dyDescent="0.3">
      <c r="A410" s="46" t="s">
        <v>1306</v>
      </c>
      <c r="B410" s="53" t="s">
        <v>244</v>
      </c>
      <c r="C410" s="2">
        <f t="shared" si="115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>400*0</f>
        <v>0</v>
      </c>
      <c r="I410" s="3">
        <v>0</v>
      </c>
      <c r="J410" s="3">
        <f t="shared" si="118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>Q410*3000</f>
        <v>0</v>
      </c>
      <c r="S410" s="3">
        <v>0</v>
      </c>
      <c r="T410" s="3">
        <v>0</v>
      </c>
      <c r="U410" s="3">
        <v>120570.93</v>
      </c>
      <c r="V410" s="6" t="e">
        <f t="shared" si="117"/>
        <v>#DIV/0!</v>
      </c>
    </row>
    <row r="411" spans="1:22" ht="25.2" customHeight="1" x14ac:dyDescent="0.3">
      <c r="A411" s="46" t="s">
        <v>1307</v>
      </c>
      <c r="B411" s="53" t="s">
        <v>247</v>
      </c>
      <c r="C411" s="2">
        <f t="shared" si="115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>400*0</f>
        <v>0</v>
      </c>
      <c r="I411" s="3">
        <v>175218</v>
      </c>
      <c r="J411" s="3">
        <f t="shared" si="118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6" t="e">
        <f t="shared" si="117"/>
        <v>#DIV/0!</v>
      </c>
    </row>
    <row r="412" spans="1:22" ht="25.2" customHeight="1" x14ac:dyDescent="0.3">
      <c r="A412" s="46" t="s">
        <v>1308</v>
      </c>
      <c r="B412" s="53" t="s">
        <v>245</v>
      </c>
      <c r="C412" s="2">
        <f t="shared" si="115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>400*0</f>
        <v>0</v>
      </c>
      <c r="I412" s="3">
        <v>94928.4</v>
      </c>
      <c r="J412" s="3">
        <f t="shared" si="118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6">
        <f t="shared" si="117"/>
        <v>5500</v>
      </c>
    </row>
    <row r="413" spans="1:22" ht="25.2" customHeight="1" x14ac:dyDescent="0.3">
      <c r="A413" s="46" t="s">
        <v>1309</v>
      </c>
      <c r="B413" s="53" t="s">
        <v>246</v>
      </c>
      <c r="C413" s="2">
        <f t="shared" si="115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>Q413*3000</f>
        <v>0</v>
      </c>
      <c r="S413" s="3">
        <v>0</v>
      </c>
      <c r="T413" s="3">
        <v>0</v>
      </c>
      <c r="U413" s="3">
        <v>0</v>
      </c>
      <c r="V413" s="6">
        <f t="shared" si="117"/>
        <v>5637.3518485998738</v>
      </c>
    </row>
    <row r="414" spans="1:22" ht="25.2" customHeight="1" x14ac:dyDescent="0.3">
      <c r="A414" s="46" t="s">
        <v>1310</v>
      </c>
      <c r="B414" s="53" t="s">
        <v>809</v>
      </c>
      <c r="C414" s="2">
        <f t="shared" si="115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>Q414*3000</f>
        <v>0</v>
      </c>
      <c r="S414" s="3">
        <v>0</v>
      </c>
      <c r="T414" s="3">
        <v>0</v>
      </c>
      <c r="U414" s="3">
        <v>0</v>
      </c>
      <c r="V414" s="6">
        <f t="shared" si="117"/>
        <v>3539.9535572632622</v>
      </c>
    </row>
    <row r="415" spans="1:22" ht="25.2" customHeight="1" x14ac:dyDescent="0.3">
      <c r="A415" s="46" t="s">
        <v>1311</v>
      </c>
      <c r="B415" s="53" t="s">
        <v>810</v>
      </c>
      <c r="C415" s="2">
        <f t="shared" si="115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>Q415*3000</f>
        <v>0</v>
      </c>
      <c r="S415" s="3">
        <v>0</v>
      </c>
      <c r="T415" s="3">
        <v>0</v>
      </c>
      <c r="U415" s="3">
        <v>0</v>
      </c>
      <c r="V415" s="6">
        <f t="shared" si="117"/>
        <v>3506.556752767528</v>
      </c>
    </row>
    <row r="416" spans="1:22" ht="40.049999999999997" customHeight="1" x14ac:dyDescent="0.3">
      <c r="A416" s="45" t="s">
        <v>819</v>
      </c>
      <c r="B416" s="45"/>
      <c r="C416" s="2">
        <f t="shared" ref="C416:U416" si="119">SUM(C417)</f>
        <v>1980000</v>
      </c>
      <c r="D416" s="2">
        <f t="shared" si="119"/>
        <v>0</v>
      </c>
      <c r="E416" s="2">
        <f t="shared" si="119"/>
        <v>0</v>
      </c>
      <c r="F416" s="2">
        <f t="shared" si="119"/>
        <v>0</v>
      </c>
      <c r="G416" s="2">
        <f t="shared" si="119"/>
        <v>0</v>
      </c>
      <c r="H416" s="2">
        <f t="shared" si="119"/>
        <v>0</v>
      </c>
      <c r="I416" s="2">
        <f t="shared" si="119"/>
        <v>0</v>
      </c>
      <c r="J416" s="2">
        <f t="shared" si="119"/>
        <v>0</v>
      </c>
      <c r="K416" s="38">
        <f t="shared" si="119"/>
        <v>0</v>
      </c>
      <c r="L416" s="2">
        <f t="shared" si="119"/>
        <v>0</v>
      </c>
      <c r="M416" s="2">
        <f t="shared" si="119"/>
        <v>0</v>
      </c>
      <c r="N416" s="2">
        <f t="shared" si="119"/>
        <v>0</v>
      </c>
      <c r="O416" s="2">
        <f t="shared" si="119"/>
        <v>0</v>
      </c>
      <c r="P416" s="2">
        <f t="shared" si="119"/>
        <v>0</v>
      </c>
      <c r="Q416" s="2">
        <f t="shared" si="119"/>
        <v>660</v>
      </c>
      <c r="R416" s="2">
        <f t="shared" si="119"/>
        <v>1980000</v>
      </c>
      <c r="S416" s="2">
        <f t="shared" si="119"/>
        <v>0</v>
      </c>
      <c r="T416" s="2">
        <f t="shared" si="119"/>
        <v>0</v>
      </c>
      <c r="U416" s="2">
        <f t="shared" si="119"/>
        <v>0</v>
      </c>
    </row>
    <row r="417" spans="1:22" ht="24" customHeight="1" x14ac:dyDescent="0.3">
      <c r="A417" s="46" t="s">
        <v>1312</v>
      </c>
      <c r="B417" s="53" t="s">
        <v>820</v>
      </c>
      <c r="C417" s="2">
        <f>D417+L417+N417+P417+R417+S417+T417+U417</f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6" t="e">
        <f>N417/M417</f>
        <v>#DIV/0!</v>
      </c>
    </row>
    <row r="418" spans="1:22" ht="40.049999999999997" customHeight="1" x14ac:dyDescent="0.3">
      <c r="A418" s="45" t="s">
        <v>256</v>
      </c>
      <c r="B418" s="45"/>
      <c r="C418" s="2">
        <f t="shared" ref="C418:U418" si="120">SUM(C419)</f>
        <v>4337452.32</v>
      </c>
      <c r="D418" s="2">
        <f t="shared" si="120"/>
        <v>1086193.06</v>
      </c>
      <c r="E418" s="2">
        <f t="shared" si="120"/>
        <v>151561.39000000001</v>
      </c>
      <c r="F418" s="2">
        <f t="shared" si="120"/>
        <v>627654.87</v>
      </c>
      <c r="G418" s="2">
        <f t="shared" si="120"/>
        <v>145210.45000000001</v>
      </c>
      <c r="H418" s="2">
        <f t="shared" si="120"/>
        <v>109542.28</v>
      </c>
      <c r="I418" s="2">
        <f t="shared" si="120"/>
        <v>52224.07</v>
      </c>
      <c r="J418" s="2">
        <f t="shared" si="120"/>
        <v>0</v>
      </c>
      <c r="K418" s="38">
        <f t="shared" si="120"/>
        <v>0</v>
      </c>
      <c r="L418" s="2">
        <f t="shared" si="120"/>
        <v>0</v>
      </c>
      <c r="M418" s="2">
        <f t="shared" si="120"/>
        <v>451</v>
      </c>
      <c r="N418" s="2">
        <f t="shared" si="120"/>
        <v>1425880.38</v>
      </c>
      <c r="O418" s="2">
        <f t="shared" si="120"/>
        <v>215</v>
      </c>
      <c r="P418" s="2">
        <f t="shared" si="120"/>
        <v>91634.95</v>
      </c>
      <c r="Q418" s="2">
        <f t="shared" si="120"/>
        <v>684</v>
      </c>
      <c r="R418" s="2">
        <f t="shared" si="120"/>
        <v>1733743.93</v>
      </c>
      <c r="S418" s="2">
        <f t="shared" si="120"/>
        <v>0</v>
      </c>
      <c r="T418" s="2">
        <f t="shared" si="120"/>
        <v>0</v>
      </c>
      <c r="U418" s="2">
        <f t="shared" si="120"/>
        <v>0</v>
      </c>
      <c r="V418" s="44">
        <f>C418</f>
        <v>4337452.32</v>
      </c>
    </row>
    <row r="419" spans="1:22" ht="24" customHeight="1" x14ac:dyDescent="0.3">
      <c r="A419" s="46" t="s">
        <v>1313</v>
      </c>
      <c r="B419" s="53" t="s">
        <v>257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6">
        <f>N419/M419</f>
        <v>3161.5972949002216</v>
      </c>
    </row>
    <row r="420" spans="1:22" ht="40.049999999999997" customHeight="1" x14ac:dyDescent="0.3">
      <c r="A420" s="45" t="s">
        <v>260</v>
      </c>
      <c r="B420" s="45"/>
      <c r="C420" s="2">
        <f t="shared" ref="C420:U420" si="121">SUM(C421:C422)</f>
        <v>4088364.95</v>
      </c>
      <c r="D420" s="2">
        <f t="shared" si="121"/>
        <v>0</v>
      </c>
      <c r="E420" s="2">
        <f t="shared" si="121"/>
        <v>0</v>
      </c>
      <c r="F420" s="2">
        <f t="shared" si="121"/>
        <v>0</v>
      </c>
      <c r="G420" s="2">
        <f t="shared" si="121"/>
        <v>0</v>
      </c>
      <c r="H420" s="2">
        <f t="shared" si="121"/>
        <v>0</v>
      </c>
      <c r="I420" s="2">
        <f t="shared" si="121"/>
        <v>0</v>
      </c>
      <c r="J420" s="2">
        <f t="shared" si="121"/>
        <v>0</v>
      </c>
      <c r="K420" s="38">
        <f t="shared" si="121"/>
        <v>0</v>
      </c>
      <c r="L420" s="2">
        <f t="shared" si="121"/>
        <v>0</v>
      </c>
      <c r="M420" s="2">
        <f t="shared" si="121"/>
        <v>743.4</v>
      </c>
      <c r="N420" s="2">
        <f t="shared" si="121"/>
        <v>4088364.95</v>
      </c>
      <c r="O420" s="2">
        <f t="shared" si="121"/>
        <v>0</v>
      </c>
      <c r="P420" s="2">
        <f t="shared" si="121"/>
        <v>0</v>
      </c>
      <c r="Q420" s="2">
        <f t="shared" si="121"/>
        <v>0</v>
      </c>
      <c r="R420" s="2">
        <f t="shared" si="121"/>
        <v>0</v>
      </c>
      <c r="S420" s="2">
        <f t="shared" si="121"/>
        <v>0</v>
      </c>
      <c r="T420" s="2">
        <f t="shared" si="121"/>
        <v>0</v>
      </c>
      <c r="U420" s="2">
        <f t="shared" si="121"/>
        <v>0</v>
      </c>
      <c r="V420" s="44">
        <f>C420</f>
        <v>4088364.95</v>
      </c>
    </row>
    <row r="421" spans="1:22" ht="24" customHeight="1" x14ac:dyDescent="0.3">
      <c r="A421" s="46" t="s">
        <v>1314</v>
      </c>
      <c r="B421" s="53" t="s">
        <v>261</v>
      </c>
      <c r="C421" s="2">
        <f>D421+L421+N421+P421+R421+S421+T421+U421</f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6">
        <f>N421/M421</f>
        <v>5499.7911140939595</v>
      </c>
    </row>
    <row r="422" spans="1:22" ht="24" customHeight="1" x14ac:dyDescent="0.3">
      <c r="A422" s="46" t="s">
        <v>1315</v>
      </c>
      <c r="B422" s="53" t="s">
        <v>262</v>
      </c>
      <c r="C422" s="2">
        <f>D422+L422+N422+P422+R422+S422+T422+U422</f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6">
        <f>N422/M422</f>
        <v>5499.3064437853873</v>
      </c>
    </row>
    <row r="423" spans="1:22" ht="40.049999999999997" customHeight="1" x14ac:dyDescent="0.3">
      <c r="A423" s="45" t="s">
        <v>875</v>
      </c>
      <c r="B423" s="45"/>
      <c r="C423" s="2">
        <f t="shared" ref="C423:U423" si="122">SUM(C424)</f>
        <v>3428150</v>
      </c>
      <c r="D423" s="2">
        <f t="shared" si="122"/>
        <v>0</v>
      </c>
      <c r="E423" s="2">
        <f t="shared" si="122"/>
        <v>0</v>
      </c>
      <c r="F423" s="2">
        <f t="shared" si="122"/>
        <v>0</v>
      </c>
      <c r="G423" s="2">
        <f t="shared" si="122"/>
        <v>0</v>
      </c>
      <c r="H423" s="2">
        <f t="shared" si="122"/>
        <v>0</v>
      </c>
      <c r="I423" s="2">
        <f t="shared" si="122"/>
        <v>0</v>
      </c>
      <c r="J423" s="2">
        <f t="shared" si="122"/>
        <v>0</v>
      </c>
      <c r="K423" s="38">
        <f t="shared" si="122"/>
        <v>0</v>
      </c>
      <c r="L423" s="2">
        <f t="shared" si="122"/>
        <v>0</v>
      </c>
      <c r="M423" s="2">
        <f t="shared" si="122"/>
        <v>655.9</v>
      </c>
      <c r="N423" s="2">
        <f t="shared" si="122"/>
        <v>3428150</v>
      </c>
      <c r="O423" s="2">
        <f t="shared" si="122"/>
        <v>0</v>
      </c>
      <c r="P423" s="2">
        <f t="shared" si="122"/>
        <v>0</v>
      </c>
      <c r="Q423" s="2">
        <f t="shared" si="122"/>
        <v>0</v>
      </c>
      <c r="R423" s="2">
        <f t="shared" si="122"/>
        <v>0</v>
      </c>
      <c r="S423" s="2">
        <f t="shared" si="122"/>
        <v>0</v>
      </c>
      <c r="T423" s="2">
        <f t="shared" si="122"/>
        <v>0</v>
      </c>
      <c r="U423" s="2">
        <f t="shared" si="122"/>
        <v>0</v>
      </c>
      <c r="V423" s="44">
        <f>C423</f>
        <v>3428150</v>
      </c>
    </row>
    <row r="424" spans="1:22" ht="24" customHeight="1" x14ac:dyDescent="0.3">
      <c r="A424" s="46" t="s">
        <v>1316</v>
      </c>
      <c r="B424" s="53" t="s">
        <v>876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6">
        <f>N424/M424</f>
        <v>5226.6351577984451</v>
      </c>
    </row>
    <row r="425" spans="1:22" ht="40.049999999999997" customHeight="1" x14ac:dyDescent="0.3">
      <c r="A425" s="45" t="s">
        <v>360</v>
      </c>
      <c r="B425" s="45"/>
      <c r="C425" s="2">
        <f t="shared" ref="C425:U425" si="123">SUM(C426:C626)</f>
        <v>479527848.27999967</v>
      </c>
      <c r="D425" s="2">
        <f t="shared" si="123"/>
        <v>97235995.24000001</v>
      </c>
      <c r="E425" s="2">
        <f t="shared" si="123"/>
        <v>16307470.029999999</v>
      </c>
      <c r="F425" s="2">
        <f t="shared" si="123"/>
        <v>53121716.699999996</v>
      </c>
      <c r="G425" s="2">
        <f t="shared" si="123"/>
        <v>9527654.7399999984</v>
      </c>
      <c r="H425" s="2">
        <f t="shared" si="123"/>
        <v>9738298.3399999999</v>
      </c>
      <c r="I425" s="2">
        <f t="shared" si="123"/>
        <v>8540855.4299999997</v>
      </c>
      <c r="J425" s="2">
        <f t="shared" si="123"/>
        <v>0</v>
      </c>
      <c r="K425" s="38">
        <f t="shared" si="123"/>
        <v>14</v>
      </c>
      <c r="L425" s="2">
        <f t="shared" si="123"/>
        <v>24140752.440000001</v>
      </c>
      <c r="M425" s="2">
        <f t="shared" si="123"/>
        <v>58057.35</v>
      </c>
      <c r="N425" s="2">
        <f t="shared" si="123"/>
        <v>301273193.71999979</v>
      </c>
      <c r="O425" s="2">
        <f t="shared" si="123"/>
        <v>819.8</v>
      </c>
      <c r="P425" s="2">
        <f t="shared" si="123"/>
        <v>881819.15</v>
      </c>
      <c r="Q425" s="2">
        <f t="shared" si="123"/>
        <v>17944.86</v>
      </c>
      <c r="R425" s="2">
        <f t="shared" si="123"/>
        <v>42019055.349999994</v>
      </c>
      <c r="S425" s="2">
        <f t="shared" si="123"/>
        <v>52420.18</v>
      </c>
      <c r="T425" s="2">
        <f t="shared" si="123"/>
        <v>0</v>
      </c>
      <c r="U425" s="2">
        <f t="shared" si="123"/>
        <v>13924612.199999999</v>
      </c>
    </row>
    <row r="426" spans="1:22" ht="24" customHeight="1" x14ac:dyDescent="0.3">
      <c r="A426" s="46" t="s">
        <v>1317</v>
      </c>
      <c r="B426" s="49" t="s">
        <v>552</v>
      </c>
      <c r="C426" s="2">
        <f t="shared" ref="C426:C489" si="124">D426+L426+N426+P426+R426+S426+T426+U426</f>
        <v>1413500</v>
      </c>
      <c r="D426" s="3">
        <f t="shared" ref="D426:D489" si="125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3">
        <v>0</v>
      </c>
      <c r="L426" s="32">
        <v>0</v>
      </c>
      <c r="M426" s="32">
        <v>257</v>
      </c>
      <c r="N426" s="3">
        <f>M426*5500</f>
        <v>1413500</v>
      </c>
      <c r="O426" s="32">
        <v>0</v>
      </c>
      <c r="P426" s="32">
        <v>0</v>
      </c>
      <c r="Q426" s="32">
        <v>0</v>
      </c>
      <c r="R426" s="3">
        <f>Q426*3000</f>
        <v>0</v>
      </c>
      <c r="S426" s="32">
        <v>0</v>
      </c>
      <c r="T426" s="32">
        <v>0</v>
      </c>
      <c r="U426" s="32">
        <v>0</v>
      </c>
      <c r="V426" s="6">
        <f t="shared" ref="V426:V489" si="126">N426/M426</f>
        <v>5500</v>
      </c>
    </row>
    <row r="427" spans="1:22" ht="24" customHeight="1" x14ac:dyDescent="0.3">
      <c r="A427" s="46" t="s">
        <v>1318</v>
      </c>
      <c r="B427" s="54" t="s">
        <v>553</v>
      </c>
      <c r="C427" s="2">
        <f t="shared" si="124"/>
        <v>1421750</v>
      </c>
      <c r="D427" s="3">
        <f t="shared" si="125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3">
        <v>0</v>
      </c>
      <c r="L427" s="32">
        <v>0</v>
      </c>
      <c r="M427" s="32">
        <v>258.5</v>
      </c>
      <c r="N427" s="3">
        <f>M427*5500</f>
        <v>1421750</v>
      </c>
      <c r="O427" s="32">
        <v>0</v>
      </c>
      <c r="P427" s="32">
        <v>0</v>
      </c>
      <c r="Q427" s="32">
        <v>0</v>
      </c>
      <c r="R427" s="3">
        <f>Q427*3000</f>
        <v>0</v>
      </c>
      <c r="S427" s="32">
        <v>0</v>
      </c>
      <c r="T427" s="32">
        <v>0</v>
      </c>
      <c r="U427" s="32">
        <v>0</v>
      </c>
      <c r="V427" s="6">
        <f t="shared" si="126"/>
        <v>5500</v>
      </c>
    </row>
    <row r="428" spans="1:22" ht="24" customHeight="1" x14ac:dyDescent="0.3">
      <c r="A428" s="46" t="s">
        <v>1319</v>
      </c>
      <c r="B428" s="55" t="s">
        <v>857</v>
      </c>
      <c r="C428" s="2">
        <f t="shared" si="124"/>
        <v>1969687.71</v>
      </c>
      <c r="D428" s="3">
        <f t="shared" si="125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6">
        <f t="shared" si="126"/>
        <v>3752.8912545294288</v>
      </c>
    </row>
    <row r="429" spans="1:22" ht="24" customHeight="1" x14ac:dyDescent="0.3">
      <c r="A429" s="46" t="s">
        <v>1320</v>
      </c>
      <c r="B429" s="49" t="s">
        <v>405</v>
      </c>
      <c r="C429" s="2">
        <f t="shared" si="124"/>
        <v>1695055.2</v>
      </c>
      <c r="D429" s="3">
        <f t="shared" si="125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32">
        <v>0</v>
      </c>
      <c r="U429" s="3">
        <v>0</v>
      </c>
      <c r="V429" s="6">
        <f t="shared" si="126"/>
        <v>6372.3879699248118</v>
      </c>
    </row>
    <row r="430" spans="1:22" ht="24" customHeight="1" x14ac:dyDescent="0.3">
      <c r="A430" s="46" t="s">
        <v>1321</v>
      </c>
      <c r="B430" s="49" t="s">
        <v>471</v>
      </c>
      <c r="C430" s="2">
        <f t="shared" si="124"/>
        <v>3306860.4</v>
      </c>
      <c r="D430" s="3">
        <f t="shared" si="125"/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32">
        <v>0</v>
      </c>
      <c r="U430" s="3">
        <v>0</v>
      </c>
      <c r="V430" s="6">
        <f t="shared" si="126"/>
        <v>4778.46743697479</v>
      </c>
    </row>
    <row r="431" spans="1:22" ht="24" customHeight="1" x14ac:dyDescent="0.3">
      <c r="A431" s="46" t="s">
        <v>1322</v>
      </c>
      <c r="B431" s="49" t="s">
        <v>554</v>
      </c>
      <c r="C431" s="2">
        <f t="shared" si="124"/>
        <v>2835250</v>
      </c>
      <c r="D431" s="3">
        <f t="shared" si="125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3">
        <v>0</v>
      </c>
      <c r="L431" s="32">
        <v>0</v>
      </c>
      <c r="M431" s="32">
        <v>515.5</v>
      </c>
      <c r="N431" s="3">
        <f>M431*5500</f>
        <v>2835250</v>
      </c>
      <c r="O431" s="32">
        <v>0</v>
      </c>
      <c r="P431" s="32">
        <v>0</v>
      </c>
      <c r="Q431" s="32">
        <v>0</v>
      </c>
      <c r="R431" s="3">
        <f>Q431*3000</f>
        <v>0</v>
      </c>
      <c r="S431" s="32">
        <v>0</v>
      </c>
      <c r="T431" s="32">
        <v>0</v>
      </c>
      <c r="U431" s="32">
        <v>0</v>
      </c>
      <c r="V431" s="6">
        <f t="shared" si="126"/>
        <v>5500</v>
      </c>
    </row>
    <row r="432" spans="1:22" ht="24" customHeight="1" x14ac:dyDescent="0.3">
      <c r="A432" s="46" t="s">
        <v>1323</v>
      </c>
      <c r="B432" s="49" t="s">
        <v>454</v>
      </c>
      <c r="C432" s="2">
        <f t="shared" si="124"/>
        <v>3322242.55</v>
      </c>
      <c r="D432" s="3">
        <f t="shared" si="125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>Q432*3000</f>
        <v>0</v>
      </c>
      <c r="S432" s="3">
        <v>0</v>
      </c>
      <c r="T432" s="32">
        <v>0</v>
      </c>
      <c r="U432" s="3">
        <v>0</v>
      </c>
      <c r="V432" s="6">
        <f t="shared" si="126"/>
        <v>5428.5008986928106</v>
      </c>
    </row>
    <row r="433" spans="1:22" ht="24" customHeight="1" x14ac:dyDescent="0.3">
      <c r="A433" s="46" t="s">
        <v>1324</v>
      </c>
      <c r="B433" s="49" t="s">
        <v>473</v>
      </c>
      <c r="C433" s="2">
        <f t="shared" si="124"/>
        <v>2651735.6</v>
      </c>
      <c r="D433" s="3">
        <f t="shared" si="125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32">
        <v>0</v>
      </c>
      <c r="U433" s="3">
        <v>0</v>
      </c>
      <c r="V433" s="6">
        <f t="shared" si="126"/>
        <v>5353.8446161534621</v>
      </c>
    </row>
    <row r="434" spans="1:22" ht="24" customHeight="1" x14ac:dyDescent="0.3">
      <c r="A434" s="46" t="s">
        <v>1325</v>
      </c>
      <c r="B434" s="49" t="s">
        <v>556</v>
      </c>
      <c r="C434" s="2">
        <f t="shared" si="124"/>
        <v>1282497.6000000001</v>
      </c>
      <c r="D434" s="3">
        <f t="shared" si="125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3">
        <v>0</v>
      </c>
      <c r="L434" s="32">
        <v>0</v>
      </c>
      <c r="M434" s="32">
        <v>280</v>
      </c>
      <c r="N434" s="3">
        <v>1282497.6000000001</v>
      </c>
      <c r="O434" s="32">
        <v>0</v>
      </c>
      <c r="P434" s="32">
        <v>0</v>
      </c>
      <c r="Q434" s="32">
        <v>0</v>
      </c>
      <c r="R434" s="3">
        <f>Q434*3000</f>
        <v>0</v>
      </c>
      <c r="S434" s="32">
        <v>0</v>
      </c>
      <c r="T434" s="32">
        <v>0</v>
      </c>
      <c r="U434" s="32">
        <v>0</v>
      </c>
      <c r="V434" s="6">
        <f t="shared" si="126"/>
        <v>4580.3485714285716</v>
      </c>
    </row>
    <row r="435" spans="1:22" ht="24" customHeight="1" x14ac:dyDescent="0.3">
      <c r="A435" s="46" t="s">
        <v>1326</v>
      </c>
      <c r="B435" s="49" t="s">
        <v>557</v>
      </c>
      <c r="C435" s="2">
        <f t="shared" si="124"/>
        <v>1317994.8</v>
      </c>
      <c r="D435" s="3">
        <f t="shared" si="125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3">
        <v>0</v>
      </c>
      <c r="L435" s="32">
        <v>0</v>
      </c>
      <c r="M435" s="32">
        <v>256.68</v>
      </c>
      <c r="N435" s="3">
        <v>1317994.8</v>
      </c>
      <c r="O435" s="32">
        <v>0</v>
      </c>
      <c r="P435" s="32">
        <v>0</v>
      </c>
      <c r="Q435" s="32">
        <v>0</v>
      </c>
      <c r="R435" s="3">
        <f>Q435*3000</f>
        <v>0</v>
      </c>
      <c r="S435" s="32">
        <v>0</v>
      </c>
      <c r="T435" s="32">
        <v>0</v>
      </c>
      <c r="U435" s="32">
        <v>0</v>
      </c>
      <c r="V435" s="6">
        <f t="shared" si="126"/>
        <v>5134.7779336138383</v>
      </c>
    </row>
    <row r="436" spans="1:22" ht="24" customHeight="1" x14ac:dyDescent="0.3">
      <c r="A436" s="46" t="s">
        <v>1327</v>
      </c>
      <c r="B436" s="54" t="s">
        <v>558</v>
      </c>
      <c r="C436" s="2">
        <f t="shared" si="124"/>
        <v>3585977.4</v>
      </c>
      <c r="D436" s="3">
        <f t="shared" si="125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3">
        <v>0</v>
      </c>
      <c r="L436" s="32">
        <v>0</v>
      </c>
      <c r="M436" s="32">
        <v>652</v>
      </c>
      <c r="N436" s="3">
        <v>3585977.4</v>
      </c>
      <c r="O436" s="32">
        <v>0</v>
      </c>
      <c r="P436" s="32">
        <v>0</v>
      </c>
      <c r="Q436" s="32">
        <v>0</v>
      </c>
      <c r="R436" s="3">
        <f>Q436*3000</f>
        <v>0</v>
      </c>
      <c r="S436" s="32">
        <v>0</v>
      </c>
      <c r="T436" s="32">
        <v>0</v>
      </c>
      <c r="U436" s="32">
        <v>0</v>
      </c>
      <c r="V436" s="6">
        <f t="shared" si="126"/>
        <v>5499.965337423313</v>
      </c>
    </row>
    <row r="437" spans="1:22" ht="24" customHeight="1" x14ac:dyDescent="0.3">
      <c r="A437" s="46" t="s">
        <v>1328</v>
      </c>
      <c r="B437" s="54" t="s">
        <v>455</v>
      </c>
      <c r="C437" s="2">
        <f t="shared" si="124"/>
        <v>8464887.0999999996</v>
      </c>
      <c r="D437" s="3">
        <f t="shared" si="125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32">
        <v>0</v>
      </c>
      <c r="U437" s="3">
        <v>121243.9</v>
      </c>
      <c r="V437" s="6">
        <f t="shared" si="126"/>
        <v>5500</v>
      </c>
    </row>
    <row r="438" spans="1:22" ht="24" customHeight="1" x14ac:dyDescent="0.3">
      <c r="A438" s="46" t="s">
        <v>1329</v>
      </c>
      <c r="B438" s="49" t="s">
        <v>559</v>
      </c>
      <c r="C438" s="2">
        <f t="shared" si="124"/>
        <v>97491</v>
      </c>
      <c r="D438" s="3">
        <f t="shared" si="125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3">
        <v>0</v>
      </c>
      <c r="L438" s="32">
        <v>0</v>
      </c>
      <c r="M438" s="32">
        <v>0</v>
      </c>
      <c r="N438" s="3">
        <f>M438*5500</f>
        <v>0</v>
      </c>
      <c r="O438" s="32">
        <v>0</v>
      </c>
      <c r="P438" s="32">
        <v>0</v>
      </c>
      <c r="Q438" s="32">
        <v>0</v>
      </c>
      <c r="R438" s="3">
        <f>Q438*3000</f>
        <v>0</v>
      </c>
      <c r="S438" s="32">
        <v>0</v>
      </c>
      <c r="T438" s="32">
        <v>0</v>
      </c>
      <c r="U438" s="32">
        <v>97491</v>
      </c>
      <c r="V438" s="6" t="e">
        <f t="shared" si="126"/>
        <v>#DIV/0!</v>
      </c>
    </row>
    <row r="439" spans="1:22" ht="24" customHeight="1" x14ac:dyDescent="0.3">
      <c r="A439" s="46" t="s">
        <v>1330</v>
      </c>
      <c r="B439" s="49" t="s">
        <v>378</v>
      </c>
      <c r="C439" s="2">
        <f t="shared" si="124"/>
        <v>147224.68</v>
      </c>
      <c r="D439" s="3">
        <f t="shared" si="125"/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6" t="e">
        <f t="shared" si="126"/>
        <v>#DIV/0!</v>
      </c>
    </row>
    <row r="440" spans="1:22" ht="24" customHeight="1" x14ac:dyDescent="0.3">
      <c r="A440" s="46" t="s">
        <v>1331</v>
      </c>
      <c r="B440" s="49" t="s">
        <v>561</v>
      </c>
      <c r="C440" s="2">
        <f t="shared" si="124"/>
        <v>2858751.7</v>
      </c>
      <c r="D440" s="3">
        <f t="shared" si="125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3">
        <v>0</v>
      </c>
      <c r="L440" s="32">
        <v>0</v>
      </c>
      <c r="M440" s="32">
        <v>541.66999999999996</v>
      </c>
      <c r="N440" s="3">
        <v>2858751.7</v>
      </c>
      <c r="O440" s="32">
        <v>0</v>
      </c>
      <c r="P440" s="32">
        <v>0</v>
      </c>
      <c r="Q440" s="32">
        <v>0</v>
      </c>
      <c r="R440" s="3">
        <f>Q440*3000</f>
        <v>0</v>
      </c>
      <c r="S440" s="32">
        <v>0</v>
      </c>
      <c r="T440" s="32">
        <v>0</v>
      </c>
      <c r="U440" s="32">
        <v>0</v>
      </c>
      <c r="V440" s="6">
        <f t="shared" si="126"/>
        <v>5277.662968227889</v>
      </c>
    </row>
    <row r="441" spans="1:22" ht="24" customHeight="1" x14ac:dyDescent="0.3">
      <c r="A441" s="46" t="s">
        <v>1332</v>
      </c>
      <c r="B441" s="49" t="s">
        <v>826</v>
      </c>
      <c r="C441" s="2">
        <f t="shared" si="124"/>
        <v>2076800</v>
      </c>
      <c r="D441" s="3">
        <f t="shared" si="12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3">
        <v>0</v>
      </c>
      <c r="L441" s="32">
        <v>0</v>
      </c>
      <c r="M441" s="32">
        <v>377.6</v>
      </c>
      <c r="N441" s="3">
        <v>2076800</v>
      </c>
      <c r="O441" s="32">
        <v>0</v>
      </c>
      <c r="P441" s="32">
        <v>0</v>
      </c>
      <c r="Q441" s="32">
        <v>0</v>
      </c>
      <c r="R441" s="3">
        <f>Q441*3000</f>
        <v>0</v>
      </c>
      <c r="S441" s="32">
        <v>0</v>
      </c>
      <c r="T441" s="32">
        <v>0</v>
      </c>
      <c r="U441" s="32">
        <v>0</v>
      </c>
      <c r="V441" s="6">
        <f t="shared" si="126"/>
        <v>5500</v>
      </c>
    </row>
    <row r="442" spans="1:22" ht="24" customHeight="1" x14ac:dyDescent="0.3">
      <c r="A442" s="46" t="s">
        <v>1333</v>
      </c>
      <c r="B442" s="49" t="s">
        <v>487</v>
      </c>
      <c r="C442" s="2">
        <f t="shared" si="124"/>
        <v>2241720</v>
      </c>
      <c r="D442" s="3">
        <f t="shared" si="125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3">
        <v>0</v>
      </c>
      <c r="L442" s="32">
        <v>0</v>
      </c>
      <c r="M442" s="32">
        <v>268.04000000000002</v>
      </c>
      <c r="N442" s="3">
        <v>1284262.8</v>
      </c>
      <c r="O442" s="32">
        <v>0</v>
      </c>
      <c r="P442" s="32">
        <v>0</v>
      </c>
      <c r="Q442" s="32">
        <v>372</v>
      </c>
      <c r="R442" s="3">
        <v>957457.2</v>
      </c>
      <c r="S442" s="32">
        <v>0</v>
      </c>
      <c r="T442" s="32">
        <v>0</v>
      </c>
      <c r="U442" s="32">
        <v>0</v>
      </c>
      <c r="V442" s="6">
        <f t="shared" si="126"/>
        <v>4791.3102522011641</v>
      </c>
    </row>
    <row r="443" spans="1:22" ht="24" customHeight="1" x14ac:dyDescent="0.3">
      <c r="A443" s="46" t="s">
        <v>1334</v>
      </c>
      <c r="B443" s="49" t="s">
        <v>562</v>
      </c>
      <c r="C443" s="2">
        <f t="shared" si="124"/>
        <v>2452435.0299999998</v>
      </c>
      <c r="D443" s="3">
        <f t="shared" si="12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3">
        <v>0</v>
      </c>
      <c r="L443" s="32">
        <v>0</v>
      </c>
      <c r="M443" s="32">
        <v>490</v>
      </c>
      <c r="N443" s="3">
        <v>2452435.0299999998</v>
      </c>
      <c r="O443" s="32">
        <v>0</v>
      </c>
      <c r="P443" s="32">
        <v>0</v>
      </c>
      <c r="Q443" s="32">
        <v>0</v>
      </c>
      <c r="R443" s="3">
        <f>Q443*3000</f>
        <v>0</v>
      </c>
      <c r="S443" s="32">
        <v>0</v>
      </c>
      <c r="T443" s="32">
        <v>0</v>
      </c>
      <c r="U443" s="32">
        <v>0</v>
      </c>
      <c r="V443" s="6">
        <f t="shared" si="126"/>
        <v>5004.9694489795911</v>
      </c>
    </row>
    <row r="444" spans="1:22" ht="24" customHeight="1" x14ac:dyDescent="0.3">
      <c r="A444" s="46" t="s">
        <v>1335</v>
      </c>
      <c r="B444" s="49" t="s">
        <v>655</v>
      </c>
      <c r="C444" s="2">
        <f t="shared" si="124"/>
        <v>1401070</v>
      </c>
      <c r="D444" s="3">
        <f t="shared" si="12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>Q444*3000</f>
        <v>0</v>
      </c>
      <c r="S444" s="3">
        <v>0</v>
      </c>
      <c r="T444" s="32">
        <v>0</v>
      </c>
      <c r="U444" s="3">
        <v>0</v>
      </c>
      <c r="V444" s="6">
        <f t="shared" si="126"/>
        <v>5500</v>
      </c>
    </row>
    <row r="445" spans="1:22" ht="24" customHeight="1" x14ac:dyDescent="0.3">
      <c r="A445" s="46" t="s">
        <v>1336</v>
      </c>
      <c r="B445" s="49" t="s">
        <v>488</v>
      </c>
      <c r="C445" s="2">
        <f t="shared" si="124"/>
        <v>1810631.11</v>
      </c>
      <c r="D445" s="3">
        <f t="shared" si="125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3">
        <v>0</v>
      </c>
      <c r="L445" s="32">
        <v>0</v>
      </c>
      <c r="M445" s="32">
        <v>335.38</v>
      </c>
      <c r="N445" s="3">
        <v>1810631.11</v>
      </c>
      <c r="O445" s="32">
        <v>0</v>
      </c>
      <c r="P445" s="32">
        <v>0</v>
      </c>
      <c r="Q445" s="32">
        <v>0</v>
      </c>
      <c r="R445" s="3">
        <f>Q445*3000</f>
        <v>0</v>
      </c>
      <c r="S445" s="32">
        <v>0</v>
      </c>
      <c r="T445" s="32">
        <v>0</v>
      </c>
      <c r="U445" s="32">
        <v>0</v>
      </c>
      <c r="V445" s="6">
        <f t="shared" si="126"/>
        <v>5398.7450354821403</v>
      </c>
    </row>
    <row r="446" spans="1:22" ht="24" customHeight="1" x14ac:dyDescent="0.3">
      <c r="A446" s="46" t="s">
        <v>1337</v>
      </c>
      <c r="B446" s="49" t="s">
        <v>563</v>
      </c>
      <c r="C446" s="2">
        <f t="shared" si="124"/>
        <v>2900695.8</v>
      </c>
      <c r="D446" s="3">
        <f t="shared" si="125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3">
        <v>0</v>
      </c>
      <c r="L446" s="32">
        <v>0</v>
      </c>
      <c r="M446" s="32">
        <v>543.79999999999995</v>
      </c>
      <c r="N446" s="3">
        <v>2900695.8</v>
      </c>
      <c r="O446" s="32">
        <v>0</v>
      </c>
      <c r="P446" s="32">
        <v>0</v>
      </c>
      <c r="Q446" s="32">
        <v>0</v>
      </c>
      <c r="R446" s="3">
        <f>Q446*3000</f>
        <v>0</v>
      </c>
      <c r="S446" s="32">
        <v>0</v>
      </c>
      <c r="T446" s="32">
        <v>0</v>
      </c>
      <c r="U446" s="32">
        <v>0</v>
      </c>
      <c r="V446" s="6">
        <f t="shared" si="126"/>
        <v>5334.1224714968739</v>
      </c>
    </row>
    <row r="447" spans="1:22" ht="24" customHeight="1" x14ac:dyDescent="0.3">
      <c r="A447" s="46" t="s">
        <v>1338</v>
      </c>
      <c r="B447" s="49" t="s">
        <v>440</v>
      </c>
      <c r="C447" s="2">
        <f t="shared" si="124"/>
        <v>1561054.7</v>
      </c>
      <c r="D447" s="3">
        <f t="shared" si="125"/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6" t="e">
        <f t="shared" si="126"/>
        <v>#DIV/0!</v>
      </c>
    </row>
    <row r="448" spans="1:22" ht="24" customHeight="1" x14ac:dyDescent="0.3">
      <c r="A448" s="46" t="s">
        <v>1339</v>
      </c>
      <c r="B448" s="54" t="s">
        <v>821</v>
      </c>
      <c r="C448" s="2">
        <f t="shared" si="124"/>
        <v>99392.8</v>
      </c>
      <c r="D448" s="3">
        <f t="shared" si="125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3">
        <v>0</v>
      </c>
      <c r="L448" s="32">
        <v>0</v>
      </c>
      <c r="M448" s="32">
        <v>0</v>
      </c>
      <c r="N448" s="3">
        <f>M448*5500</f>
        <v>0</v>
      </c>
      <c r="O448" s="32">
        <v>0</v>
      </c>
      <c r="P448" s="32">
        <v>0</v>
      </c>
      <c r="Q448" s="32">
        <v>0</v>
      </c>
      <c r="R448" s="3">
        <f t="shared" ref="R448:R454" si="127">Q448*3000</f>
        <v>0</v>
      </c>
      <c r="S448" s="32">
        <v>0</v>
      </c>
      <c r="T448" s="32">
        <v>0</v>
      </c>
      <c r="U448" s="32">
        <v>99392.8</v>
      </c>
      <c r="V448" s="6" t="e">
        <f t="shared" si="126"/>
        <v>#DIV/0!</v>
      </c>
    </row>
    <row r="449" spans="1:22" ht="24" customHeight="1" x14ac:dyDescent="0.3">
      <c r="A449" s="46" t="s">
        <v>1340</v>
      </c>
      <c r="B449" s="54" t="s">
        <v>489</v>
      </c>
      <c r="C449" s="2">
        <f t="shared" si="124"/>
        <v>113030.15</v>
      </c>
      <c r="D449" s="3">
        <f t="shared" si="125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3">
        <v>0</v>
      </c>
      <c r="L449" s="32">
        <v>0</v>
      </c>
      <c r="M449" s="32">
        <v>0</v>
      </c>
      <c r="N449" s="3">
        <f>M449*5500</f>
        <v>0</v>
      </c>
      <c r="O449" s="32">
        <v>0</v>
      </c>
      <c r="P449" s="32">
        <v>0</v>
      </c>
      <c r="Q449" s="32">
        <v>0</v>
      </c>
      <c r="R449" s="3">
        <f t="shared" si="127"/>
        <v>0</v>
      </c>
      <c r="S449" s="32">
        <v>0</v>
      </c>
      <c r="T449" s="32">
        <v>0</v>
      </c>
      <c r="U449" s="32">
        <v>113030.15</v>
      </c>
      <c r="V449" s="6" t="e">
        <f t="shared" si="126"/>
        <v>#DIV/0!</v>
      </c>
    </row>
    <row r="450" spans="1:22" ht="34.950000000000003" customHeight="1" x14ac:dyDescent="0.3">
      <c r="A450" s="46" t="s">
        <v>1341</v>
      </c>
      <c r="B450" s="49" t="s">
        <v>888</v>
      </c>
      <c r="C450" s="2">
        <f t="shared" si="124"/>
        <v>4822702.8</v>
      </c>
      <c r="D450" s="3">
        <f t="shared" si="125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3">
        <v>0</v>
      </c>
      <c r="L450" s="32">
        <v>0</v>
      </c>
      <c r="M450" s="32">
        <v>896.31</v>
      </c>
      <c r="N450" s="3">
        <v>4822702.8</v>
      </c>
      <c r="O450" s="32">
        <v>0</v>
      </c>
      <c r="P450" s="32">
        <v>0</v>
      </c>
      <c r="Q450" s="32">
        <v>0</v>
      </c>
      <c r="R450" s="3">
        <f t="shared" si="127"/>
        <v>0</v>
      </c>
      <c r="S450" s="32">
        <v>0</v>
      </c>
      <c r="T450" s="32">
        <v>0</v>
      </c>
      <c r="U450" s="32">
        <v>0</v>
      </c>
      <c r="V450" s="6">
        <f t="shared" si="126"/>
        <v>5380.6192054088433</v>
      </c>
    </row>
    <row r="451" spans="1:22" ht="25.2" customHeight="1" x14ac:dyDescent="0.3">
      <c r="A451" s="46" t="s">
        <v>1342</v>
      </c>
      <c r="B451" s="49" t="s">
        <v>567</v>
      </c>
      <c r="C451" s="2">
        <f t="shared" si="124"/>
        <v>153829.49</v>
      </c>
      <c r="D451" s="3">
        <f t="shared" si="125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3">
        <v>0</v>
      </c>
      <c r="L451" s="32">
        <v>0</v>
      </c>
      <c r="M451" s="32">
        <v>0</v>
      </c>
      <c r="N451" s="3">
        <f>M451*5500</f>
        <v>0</v>
      </c>
      <c r="O451" s="32">
        <v>0</v>
      </c>
      <c r="P451" s="32">
        <v>0</v>
      </c>
      <c r="Q451" s="32">
        <v>0</v>
      </c>
      <c r="R451" s="3">
        <f t="shared" si="127"/>
        <v>0</v>
      </c>
      <c r="S451" s="32">
        <v>0</v>
      </c>
      <c r="T451" s="32">
        <v>0</v>
      </c>
      <c r="U451" s="32">
        <v>153829.49</v>
      </c>
      <c r="V451" s="6" t="e">
        <f t="shared" si="126"/>
        <v>#DIV/0!</v>
      </c>
    </row>
    <row r="452" spans="1:22" ht="25.2" customHeight="1" x14ac:dyDescent="0.3">
      <c r="A452" s="46" t="s">
        <v>1343</v>
      </c>
      <c r="B452" s="49" t="s">
        <v>490</v>
      </c>
      <c r="C452" s="2">
        <f t="shared" si="124"/>
        <v>93371.54</v>
      </c>
      <c r="D452" s="3">
        <f t="shared" si="125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3">
        <v>0</v>
      </c>
      <c r="L452" s="32">
        <v>0</v>
      </c>
      <c r="M452" s="32">
        <v>0</v>
      </c>
      <c r="N452" s="3">
        <f>M452*5500</f>
        <v>0</v>
      </c>
      <c r="O452" s="32">
        <v>0</v>
      </c>
      <c r="P452" s="32">
        <v>0</v>
      </c>
      <c r="Q452" s="32">
        <v>0</v>
      </c>
      <c r="R452" s="3">
        <f t="shared" si="127"/>
        <v>0</v>
      </c>
      <c r="S452" s="32">
        <v>0</v>
      </c>
      <c r="T452" s="32">
        <v>0</v>
      </c>
      <c r="U452" s="32">
        <v>93371.54</v>
      </c>
      <c r="V452" s="6" t="e">
        <f t="shared" si="126"/>
        <v>#DIV/0!</v>
      </c>
    </row>
    <row r="453" spans="1:22" ht="24" customHeight="1" x14ac:dyDescent="0.3">
      <c r="A453" s="46" t="s">
        <v>1344</v>
      </c>
      <c r="B453" s="49" t="s">
        <v>568</v>
      </c>
      <c r="C453" s="2">
        <f t="shared" si="124"/>
        <v>1350551</v>
      </c>
      <c r="D453" s="3">
        <f t="shared" si="125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3">
        <v>0</v>
      </c>
      <c r="L453" s="32">
        <v>0</v>
      </c>
      <c r="M453" s="32">
        <v>265.47000000000003</v>
      </c>
      <c r="N453" s="3">
        <v>1350551</v>
      </c>
      <c r="O453" s="32">
        <v>0</v>
      </c>
      <c r="P453" s="32">
        <v>0</v>
      </c>
      <c r="Q453" s="32">
        <v>0</v>
      </c>
      <c r="R453" s="3">
        <f t="shared" si="127"/>
        <v>0</v>
      </c>
      <c r="S453" s="32">
        <v>0</v>
      </c>
      <c r="T453" s="32">
        <v>0</v>
      </c>
      <c r="U453" s="32">
        <v>0</v>
      </c>
      <c r="V453" s="6">
        <f t="shared" si="126"/>
        <v>5087.3959392775068</v>
      </c>
    </row>
    <row r="454" spans="1:22" ht="24" customHeight="1" x14ac:dyDescent="0.3">
      <c r="A454" s="46" t="s">
        <v>1345</v>
      </c>
      <c r="B454" s="49" t="s">
        <v>569</v>
      </c>
      <c r="C454" s="2">
        <f t="shared" si="124"/>
        <v>1287471.4099999999</v>
      </c>
      <c r="D454" s="3">
        <f t="shared" si="125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3">
        <v>0</v>
      </c>
      <c r="L454" s="32">
        <v>0</v>
      </c>
      <c r="M454" s="32">
        <v>263.11</v>
      </c>
      <c r="N454" s="3">
        <v>1287471.4099999999</v>
      </c>
      <c r="O454" s="32">
        <v>0</v>
      </c>
      <c r="P454" s="32">
        <v>0</v>
      </c>
      <c r="Q454" s="32">
        <v>0</v>
      </c>
      <c r="R454" s="3">
        <f t="shared" si="127"/>
        <v>0</v>
      </c>
      <c r="S454" s="32">
        <v>0</v>
      </c>
      <c r="T454" s="32">
        <v>0</v>
      </c>
      <c r="U454" s="32">
        <v>0</v>
      </c>
      <c r="V454" s="6">
        <f t="shared" si="126"/>
        <v>4893.2819353122259</v>
      </c>
    </row>
    <row r="455" spans="1:22" ht="24" customHeight="1" x14ac:dyDescent="0.3">
      <c r="A455" s="46" t="s">
        <v>1346</v>
      </c>
      <c r="B455" s="49" t="s">
        <v>385</v>
      </c>
      <c r="C455" s="2">
        <f t="shared" si="124"/>
        <v>551878.80000000005</v>
      </c>
      <c r="D455" s="3">
        <f t="shared" si="125"/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6" t="e">
        <f t="shared" si="126"/>
        <v>#DIV/0!</v>
      </c>
    </row>
    <row r="456" spans="1:22" ht="24" customHeight="1" x14ac:dyDescent="0.3">
      <c r="A456" s="46" t="s">
        <v>1347</v>
      </c>
      <c r="B456" s="49" t="s">
        <v>420</v>
      </c>
      <c r="C456" s="2">
        <f t="shared" si="124"/>
        <v>1787112.0000000002</v>
      </c>
      <c r="D456" s="3">
        <f t="shared" si="125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6" t="e">
        <f t="shared" si="126"/>
        <v>#DIV/0!</v>
      </c>
    </row>
    <row r="457" spans="1:22" ht="24" customHeight="1" x14ac:dyDescent="0.3">
      <c r="A457" s="46" t="s">
        <v>1348</v>
      </c>
      <c r="B457" s="49" t="s">
        <v>412</v>
      </c>
      <c r="C457" s="2">
        <f t="shared" si="124"/>
        <v>2369787.6</v>
      </c>
      <c r="D457" s="3">
        <f t="shared" si="125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6" t="e">
        <f t="shared" si="126"/>
        <v>#DIV/0!</v>
      </c>
    </row>
    <row r="458" spans="1:22" ht="24" customHeight="1" x14ac:dyDescent="0.3">
      <c r="A458" s="46" t="s">
        <v>1349</v>
      </c>
      <c r="B458" s="49" t="s">
        <v>413</v>
      </c>
      <c r="C458" s="2">
        <f t="shared" si="124"/>
        <v>3397738.8</v>
      </c>
      <c r="D458" s="3">
        <f t="shared" si="125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6" t="e">
        <f t="shared" si="126"/>
        <v>#DIV/0!</v>
      </c>
    </row>
    <row r="459" spans="1:22" ht="24" customHeight="1" x14ac:dyDescent="0.3">
      <c r="A459" s="46" t="s">
        <v>1350</v>
      </c>
      <c r="B459" s="49" t="s">
        <v>419</v>
      </c>
      <c r="C459" s="2">
        <f t="shared" si="124"/>
        <v>1555717.2</v>
      </c>
      <c r="D459" s="3">
        <f t="shared" si="125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6" t="e">
        <f t="shared" si="126"/>
        <v>#DIV/0!</v>
      </c>
    </row>
    <row r="460" spans="1:22" ht="24" customHeight="1" x14ac:dyDescent="0.3">
      <c r="A460" s="46" t="s">
        <v>1351</v>
      </c>
      <c r="B460" s="49" t="s">
        <v>395</v>
      </c>
      <c r="C460" s="2">
        <f t="shared" si="124"/>
        <v>871668.83</v>
      </c>
      <c r="D460" s="3">
        <f t="shared" si="125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467" si="128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6" t="e">
        <f t="shared" si="126"/>
        <v>#DIV/0!</v>
      </c>
    </row>
    <row r="461" spans="1:22" ht="24" customHeight="1" x14ac:dyDescent="0.3">
      <c r="A461" s="46" t="s">
        <v>1352</v>
      </c>
      <c r="B461" s="49" t="s">
        <v>421</v>
      </c>
      <c r="C461" s="2">
        <f t="shared" si="124"/>
        <v>6051501.2000000011</v>
      </c>
      <c r="D461" s="3">
        <f t="shared" si="125"/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28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6" t="e">
        <f t="shared" si="126"/>
        <v>#DIV/0!</v>
      </c>
    </row>
    <row r="462" spans="1:22" ht="24" customHeight="1" x14ac:dyDescent="0.3">
      <c r="A462" s="46" t="s">
        <v>1353</v>
      </c>
      <c r="B462" s="49" t="s">
        <v>379</v>
      </c>
      <c r="C462" s="2">
        <f t="shared" si="124"/>
        <v>5941296</v>
      </c>
      <c r="D462" s="3">
        <f t="shared" si="125"/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28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 t="e">
        <f t="shared" si="126"/>
        <v>#DIV/0!</v>
      </c>
    </row>
    <row r="463" spans="1:22" ht="24" customHeight="1" x14ac:dyDescent="0.3">
      <c r="A463" s="46" t="s">
        <v>1354</v>
      </c>
      <c r="B463" s="49" t="s">
        <v>380</v>
      </c>
      <c r="C463" s="2">
        <f t="shared" si="124"/>
        <v>1241695.8500000001</v>
      </c>
      <c r="D463" s="3">
        <f t="shared" si="125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28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6" t="e">
        <f t="shared" si="126"/>
        <v>#DIV/0!</v>
      </c>
    </row>
    <row r="464" spans="1:22" ht="24" customHeight="1" x14ac:dyDescent="0.3">
      <c r="A464" s="46" t="s">
        <v>1355</v>
      </c>
      <c r="B464" s="49" t="s">
        <v>362</v>
      </c>
      <c r="C464" s="2">
        <f t="shared" si="124"/>
        <v>1126559.3999999999</v>
      </c>
      <c r="D464" s="3">
        <f t="shared" si="125"/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28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6" t="e">
        <f t="shared" si="126"/>
        <v>#DIV/0!</v>
      </c>
    </row>
    <row r="465" spans="1:22" ht="24" customHeight="1" x14ac:dyDescent="0.3">
      <c r="A465" s="46" t="s">
        <v>1356</v>
      </c>
      <c r="B465" s="49" t="s">
        <v>363</v>
      </c>
      <c r="C465" s="2">
        <f t="shared" si="124"/>
        <v>1308191.5999999999</v>
      </c>
      <c r="D465" s="3">
        <f t="shared" si="125"/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28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6" t="e">
        <f t="shared" si="126"/>
        <v>#DIV/0!</v>
      </c>
    </row>
    <row r="466" spans="1:22" ht="24" customHeight="1" x14ac:dyDescent="0.3">
      <c r="A466" s="46" t="s">
        <v>1357</v>
      </c>
      <c r="B466" s="54" t="s">
        <v>422</v>
      </c>
      <c r="C466" s="2">
        <f t="shared" si="124"/>
        <v>14095576.799999997</v>
      </c>
      <c r="D466" s="3">
        <f t="shared" si="125"/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28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6" t="e">
        <f t="shared" si="126"/>
        <v>#DIV/0!</v>
      </c>
    </row>
    <row r="467" spans="1:22" ht="24" customHeight="1" x14ac:dyDescent="0.3">
      <c r="A467" s="46" t="s">
        <v>1358</v>
      </c>
      <c r="B467" s="49" t="s">
        <v>394</v>
      </c>
      <c r="C467" s="2">
        <f t="shared" si="124"/>
        <v>3426128</v>
      </c>
      <c r="D467" s="3">
        <f t="shared" si="125"/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28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6" t="e">
        <f t="shared" si="126"/>
        <v>#DIV/0!</v>
      </c>
    </row>
    <row r="468" spans="1:22" ht="24" customHeight="1" x14ac:dyDescent="0.3">
      <c r="A468" s="46" t="s">
        <v>1359</v>
      </c>
      <c r="B468" s="49" t="s">
        <v>570</v>
      </c>
      <c r="C468" s="2">
        <f t="shared" si="124"/>
        <v>148301.57</v>
      </c>
      <c r="D468" s="3">
        <f t="shared" si="125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3">
        <v>0</v>
      </c>
      <c r="L468" s="32">
        <v>0</v>
      </c>
      <c r="M468" s="32">
        <v>0</v>
      </c>
      <c r="N468" s="3">
        <f>M468*5500</f>
        <v>0</v>
      </c>
      <c r="O468" s="32">
        <v>0</v>
      </c>
      <c r="P468" s="32">
        <v>0</v>
      </c>
      <c r="Q468" s="32">
        <v>0</v>
      </c>
      <c r="R468" s="3">
        <f t="shared" ref="R468:R484" si="129">Q468*3000</f>
        <v>0</v>
      </c>
      <c r="S468" s="32">
        <v>0</v>
      </c>
      <c r="T468" s="32">
        <v>0</v>
      </c>
      <c r="U468" s="32">
        <v>148301.57</v>
      </c>
      <c r="V468" s="6" t="e">
        <f t="shared" si="126"/>
        <v>#DIV/0!</v>
      </c>
    </row>
    <row r="469" spans="1:22" ht="24" customHeight="1" x14ac:dyDescent="0.3">
      <c r="A469" s="46" t="s">
        <v>1360</v>
      </c>
      <c r="B469" s="49" t="s">
        <v>571</v>
      </c>
      <c r="C469" s="2">
        <f t="shared" si="124"/>
        <v>1367362</v>
      </c>
      <c r="D469" s="3">
        <f t="shared" si="125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3">
        <v>0</v>
      </c>
      <c r="L469" s="32">
        <v>0</v>
      </c>
      <c r="M469" s="32">
        <v>248.7</v>
      </c>
      <c r="N469" s="3">
        <v>1367362</v>
      </c>
      <c r="O469" s="32">
        <v>0</v>
      </c>
      <c r="P469" s="32">
        <v>0</v>
      </c>
      <c r="Q469" s="32">
        <v>0</v>
      </c>
      <c r="R469" s="3">
        <f t="shared" si="129"/>
        <v>0</v>
      </c>
      <c r="S469" s="32">
        <v>0</v>
      </c>
      <c r="T469" s="32">
        <v>0</v>
      </c>
      <c r="U469" s="32">
        <v>0</v>
      </c>
      <c r="V469" s="6">
        <f t="shared" si="126"/>
        <v>5498.0377965420184</v>
      </c>
    </row>
    <row r="470" spans="1:22" ht="24" customHeight="1" x14ac:dyDescent="0.3">
      <c r="A470" s="46" t="s">
        <v>1361</v>
      </c>
      <c r="B470" s="54" t="s">
        <v>500</v>
      </c>
      <c r="C470" s="2">
        <f t="shared" si="124"/>
        <v>4109430.8</v>
      </c>
      <c r="D470" s="3">
        <f t="shared" si="125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3">
        <v>0</v>
      </c>
      <c r="L470" s="32">
        <v>0</v>
      </c>
      <c r="M470" s="32">
        <v>748.9</v>
      </c>
      <c r="N470" s="3">
        <v>4109430.8</v>
      </c>
      <c r="O470" s="32">
        <v>0</v>
      </c>
      <c r="P470" s="32">
        <v>0</v>
      </c>
      <c r="Q470" s="32">
        <v>0</v>
      </c>
      <c r="R470" s="3">
        <f t="shared" si="129"/>
        <v>0</v>
      </c>
      <c r="S470" s="32">
        <v>0</v>
      </c>
      <c r="T470" s="32">
        <v>0</v>
      </c>
      <c r="U470" s="32">
        <v>0</v>
      </c>
      <c r="V470" s="6">
        <f t="shared" si="126"/>
        <v>5487.2890906663106</v>
      </c>
    </row>
    <row r="471" spans="1:22" ht="24" customHeight="1" x14ac:dyDescent="0.3">
      <c r="A471" s="46" t="s">
        <v>1362</v>
      </c>
      <c r="B471" s="54" t="s">
        <v>491</v>
      </c>
      <c r="C471" s="2">
        <f t="shared" si="124"/>
        <v>2316872.7200000002</v>
      </c>
      <c r="D471" s="3">
        <f t="shared" si="125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3">
        <v>0</v>
      </c>
      <c r="L471" s="32">
        <v>0</v>
      </c>
      <c r="M471" s="32">
        <v>421.78</v>
      </c>
      <c r="N471" s="3">
        <v>2316872.7200000002</v>
      </c>
      <c r="O471" s="32">
        <v>0</v>
      </c>
      <c r="P471" s="32">
        <v>0</v>
      </c>
      <c r="Q471" s="32">
        <v>0</v>
      </c>
      <c r="R471" s="3">
        <f t="shared" si="129"/>
        <v>0</v>
      </c>
      <c r="S471" s="32">
        <v>0</v>
      </c>
      <c r="T471" s="32">
        <v>0</v>
      </c>
      <c r="U471" s="32">
        <v>0</v>
      </c>
      <c r="V471" s="6">
        <f t="shared" si="126"/>
        <v>5493.0834084119688</v>
      </c>
    </row>
    <row r="472" spans="1:22" ht="24" customHeight="1" x14ac:dyDescent="0.3">
      <c r="A472" s="46" t="s">
        <v>1363</v>
      </c>
      <c r="B472" s="54" t="s">
        <v>492</v>
      </c>
      <c r="C472" s="2">
        <f t="shared" si="124"/>
        <v>2329466.75</v>
      </c>
      <c r="D472" s="3">
        <f t="shared" si="125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3">
        <v>0</v>
      </c>
      <c r="L472" s="32">
        <v>0</v>
      </c>
      <c r="M472" s="32">
        <v>430</v>
      </c>
      <c r="N472" s="3">
        <v>2329466.75</v>
      </c>
      <c r="O472" s="32">
        <v>0</v>
      </c>
      <c r="P472" s="32">
        <v>0</v>
      </c>
      <c r="Q472" s="32">
        <v>0</v>
      </c>
      <c r="R472" s="3">
        <f t="shared" si="129"/>
        <v>0</v>
      </c>
      <c r="S472" s="32">
        <v>0</v>
      </c>
      <c r="T472" s="32">
        <v>0</v>
      </c>
      <c r="U472" s="32">
        <v>0</v>
      </c>
      <c r="V472" s="6">
        <f t="shared" si="126"/>
        <v>5417.3645348837208</v>
      </c>
    </row>
    <row r="473" spans="1:22" ht="24" customHeight="1" x14ac:dyDescent="0.3">
      <c r="A473" s="46" t="s">
        <v>1364</v>
      </c>
      <c r="B473" s="54" t="s">
        <v>493</v>
      </c>
      <c r="C473" s="2">
        <f t="shared" si="124"/>
        <v>2328121.02</v>
      </c>
      <c r="D473" s="3">
        <f t="shared" si="125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3">
        <v>0</v>
      </c>
      <c r="L473" s="32">
        <v>0</v>
      </c>
      <c r="M473" s="32">
        <v>430</v>
      </c>
      <c r="N473" s="3">
        <v>2328121.02</v>
      </c>
      <c r="O473" s="32">
        <v>0</v>
      </c>
      <c r="P473" s="32">
        <v>0</v>
      </c>
      <c r="Q473" s="32">
        <v>0</v>
      </c>
      <c r="R473" s="3">
        <f t="shared" si="129"/>
        <v>0</v>
      </c>
      <c r="S473" s="32">
        <v>0</v>
      </c>
      <c r="T473" s="32">
        <v>0</v>
      </c>
      <c r="U473" s="32">
        <v>0</v>
      </c>
      <c r="V473" s="6">
        <f t="shared" si="126"/>
        <v>5414.2349302325583</v>
      </c>
    </row>
    <row r="474" spans="1:22" ht="24" customHeight="1" x14ac:dyDescent="0.3">
      <c r="A474" s="46" t="s">
        <v>1365</v>
      </c>
      <c r="B474" s="54" t="s">
        <v>494</v>
      </c>
      <c r="C474" s="2">
        <f t="shared" si="124"/>
        <v>2332911.84</v>
      </c>
      <c r="D474" s="3">
        <f t="shared" si="125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3">
        <v>0</v>
      </c>
      <c r="L474" s="32">
        <v>0</v>
      </c>
      <c r="M474" s="32">
        <v>430</v>
      </c>
      <c r="N474" s="3">
        <v>2332911.84</v>
      </c>
      <c r="O474" s="32">
        <v>0</v>
      </c>
      <c r="P474" s="32">
        <v>0</v>
      </c>
      <c r="Q474" s="32">
        <v>0</v>
      </c>
      <c r="R474" s="3">
        <f t="shared" si="129"/>
        <v>0</v>
      </c>
      <c r="S474" s="32">
        <v>0</v>
      </c>
      <c r="T474" s="32">
        <v>0</v>
      </c>
      <c r="U474" s="32">
        <v>0</v>
      </c>
      <c r="V474" s="6">
        <f t="shared" si="126"/>
        <v>5425.3763720930228</v>
      </c>
    </row>
    <row r="475" spans="1:22" ht="24" customHeight="1" x14ac:dyDescent="0.3">
      <c r="A475" s="46" t="s">
        <v>1366</v>
      </c>
      <c r="B475" s="54" t="s">
        <v>495</v>
      </c>
      <c r="C475" s="2">
        <f t="shared" si="124"/>
        <v>2356200</v>
      </c>
      <c r="D475" s="3">
        <f t="shared" si="125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3">
        <v>0</v>
      </c>
      <c r="L475" s="32">
        <v>0</v>
      </c>
      <c r="M475" s="32">
        <v>428.4</v>
      </c>
      <c r="N475" s="3">
        <v>2356200</v>
      </c>
      <c r="O475" s="32">
        <v>0</v>
      </c>
      <c r="P475" s="32">
        <v>0</v>
      </c>
      <c r="Q475" s="32">
        <v>0</v>
      </c>
      <c r="R475" s="3">
        <f t="shared" si="129"/>
        <v>0</v>
      </c>
      <c r="S475" s="32">
        <v>0</v>
      </c>
      <c r="T475" s="32">
        <v>0</v>
      </c>
      <c r="U475" s="32">
        <v>0</v>
      </c>
      <c r="V475" s="6">
        <f t="shared" si="126"/>
        <v>5500</v>
      </c>
    </row>
    <row r="476" spans="1:22" ht="24" customHeight="1" x14ac:dyDescent="0.3">
      <c r="A476" s="46" t="s">
        <v>1367</v>
      </c>
      <c r="B476" s="54" t="s">
        <v>496</v>
      </c>
      <c r="C476" s="2">
        <f t="shared" si="124"/>
        <v>2351133.44</v>
      </c>
      <c r="D476" s="3">
        <f t="shared" si="125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3">
        <v>0</v>
      </c>
      <c r="L476" s="32">
        <v>0</v>
      </c>
      <c r="M476" s="32">
        <v>441.38</v>
      </c>
      <c r="N476" s="3">
        <v>2351133.44</v>
      </c>
      <c r="O476" s="32">
        <v>0</v>
      </c>
      <c r="P476" s="32">
        <v>0</v>
      </c>
      <c r="Q476" s="32">
        <v>0</v>
      </c>
      <c r="R476" s="3">
        <f t="shared" si="129"/>
        <v>0</v>
      </c>
      <c r="S476" s="32">
        <v>0</v>
      </c>
      <c r="T476" s="32">
        <v>0</v>
      </c>
      <c r="U476" s="32">
        <v>0</v>
      </c>
      <c r="V476" s="6">
        <f t="shared" si="126"/>
        <v>5326.7783769087864</v>
      </c>
    </row>
    <row r="477" spans="1:22" ht="24" customHeight="1" x14ac:dyDescent="0.3">
      <c r="A477" s="46" t="s">
        <v>1368</v>
      </c>
      <c r="B477" s="54" t="s">
        <v>497</v>
      </c>
      <c r="C477" s="2">
        <f t="shared" si="124"/>
        <v>2360600</v>
      </c>
      <c r="D477" s="3">
        <f t="shared" si="125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3">
        <v>0</v>
      </c>
      <c r="L477" s="32">
        <v>0</v>
      </c>
      <c r="M477" s="32">
        <v>429.2</v>
      </c>
      <c r="N477" s="3">
        <v>2360600</v>
      </c>
      <c r="O477" s="32">
        <v>0</v>
      </c>
      <c r="P477" s="32">
        <v>0</v>
      </c>
      <c r="Q477" s="32">
        <v>0</v>
      </c>
      <c r="R477" s="3">
        <f t="shared" si="129"/>
        <v>0</v>
      </c>
      <c r="S477" s="32">
        <v>0</v>
      </c>
      <c r="T477" s="32">
        <v>0</v>
      </c>
      <c r="U477" s="32">
        <v>0</v>
      </c>
      <c r="V477" s="6">
        <f t="shared" si="126"/>
        <v>5500</v>
      </c>
    </row>
    <row r="478" spans="1:22" ht="24" customHeight="1" x14ac:dyDescent="0.3">
      <c r="A478" s="46" t="s">
        <v>1369</v>
      </c>
      <c r="B478" s="54" t="s">
        <v>498</v>
      </c>
      <c r="C478" s="2">
        <f t="shared" si="124"/>
        <v>2332495</v>
      </c>
      <c r="D478" s="3">
        <f t="shared" si="125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3">
        <v>0</v>
      </c>
      <c r="L478" s="32">
        <v>0</v>
      </c>
      <c r="M478" s="32">
        <v>429.09</v>
      </c>
      <c r="N478" s="3">
        <v>2332495</v>
      </c>
      <c r="O478" s="32">
        <v>0</v>
      </c>
      <c r="P478" s="32">
        <v>0</v>
      </c>
      <c r="Q478" s="32">
        <v>0</v>
      </c>
      <c r="R478" s="3">
        <f t="shared" si="129"/>
        <v>0</v>
      </c>
      <c r="S478" s="32">
        <v>0</v>
      </c>
      <c r="T478" s="32">
        <v>0</v>
      </c>
      <c r="U478" s="32">
        <v>0</v>
      </c>
      <c r="V478" s="6">
        <f t="shared" si="126"/>
        <v>5435.9108811671213</v>
      </c>
    </row>
    <row r="479" spans="1:22" ht="24" customHeight="1" x14ac:dyDescent="0.3">
      <c r="A479" s="46" t="s">
        <v>1370</v>
      </c>
      <c r="B479" s="54" t="s">
        <v>499</v>
      </c>
      <c r="C479" s="2">
        <f t="shared" si="124"/>
        <v>2381412.71</v>
      </c>
      <c r="D479" s="3">
        <f t="shared" si="125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3">
        <v>0</v>
      </c>
      <c r="L479" s="32">
        <v>0</v>
      </c>
      <c r="M479" s="32">
        <v>443.97</v>
      </c>
      <c r="N479" s="3">
        <v>2381412.71</v>
      </c>
      <c r="O479" s="32">
        <v>0</v>
      </c>
      <c r="P479" s="32">
        <v>0</v>
      </c>
      <c r="Q479" s="32">
        <v>0</v>
      </c>
      <c r="R479" s="3">
        <f t="shared" si="129"/>
        <v>0</v>
      </c>
      <c r="S479" s="32">
        <v>0</v>
      </c>
      <c r="T479" s="32">
        <v>0</v>
      </c>
      <c r="U479" s="32">
        <v>0</v>
      </c>
      <c r="V479" s="6">
        <f t="shared" si="126"/>
        <v>5363.9045656238031</v>
      </c>
    </row>
    <row r="480" spans="1:22" ht="24" customHeight="1" x14ac:dyDescent="0.3">
      <c r="A480" s="46" t="s">
        <v>1371</v>
      </c>
      <c r="B480" s="54" t="s">
        <v>572</v>
      </c>
      <c r="C480" s="2">
        <f t="shared" si="124"/>
        <v>2360865.0499999998</v>
      </c>
      <c r="D480" s="3">
        <f t="shared" si="125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3">
        <v>0</v>
      </c>
      <c r="L480" s="32">
        <v>0</v>
      </c>
      <c r="M480" s="32">
        <v>432.81</v>
      </c>
      <c r="N480" s="3">
        <v>2360865.0499999998</v>
      </c>
      <c r="O480" s="32">
        <v>0</v>
      </c>
      <c r="P480" s="32">
        <v>0</v>
      </c>
      <c r="Q480" s="32">
        <v>0</v>
      </c>
      <c r="R480" s="3">
        <f t="shared" si="129"/>
        <v>0</v>
      </c>
      <c r="S480" s="32">
        <v>0</v>
      </c>
      <c r="T480" s="32">
        <v>0</v>
      </c>
      <c r="U480" s="32">
        <v>0</v>
      </c>
      <c r="V480" s="6">
        <f t="shared" si="126"/>
        <v>5454.7377602181095</v>
      </c>
    </row>
    <row r="481" spans="1:22" ht="24" customHeight="1" x14ac:dyDescent="0.3">
      <c r="A481" s="46" t="s">
        <v>1372</v>
      </c>
      <c r="B481" s="54" t="s">
        <v>573</v>
      </c>
      <c r="C481" s="2">
        <f t="shared" si="124"/>
        <v>2342175</v>
      </c>
      <c r="D481" s="3">
        <f t="shared" si="125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33">
        <v>0</v>
      </c>
      <c r="L481" s="32">
        <v>0</v>
      </c>
      <c r="M481" s="32">
        <v>425.85</v>
      </c>
      <c r="N481" s="3">
        <v>2342175</v>
      </c>
      <c r="O481" s="32">
        <v>0</v>
      </c>
      <c r="P481" s="32">
        <v>0</v>
      </c>
      <c r="Q481" s="32">
        <v>0</v>
      </c>
      <c r="R481" s="3">
        <f t="shared" si="129"/>
        <v>0</v>
      </c>
      <c r="S481" s="32">
        <v>0</v>
      </c>
      <c r="T481" s="32">
        <v>0</v>
      </c>
      <c r="U481" s="32">
        <v>0</v>
      </c>
      <c r="V481" s="6">
        <f t="shared" si="126"/>
        <v>5500</v>
      </c>
    </row>
    <row r="482" spans="1:22" ht="24" customHeight="1" x14ac:dyDescent="0.3">
      <c r="A482" s="46" t="s">
        <v>1373</v>
      </c>
      <c r="B482" s="54" t="s">
        <v>574</v>
      </c>
      <c r="C482" s="2">
        <f t="shared" si="124"/>
        <v>2286681.85</v>
      </c>
      <c r="D482" s="3">
        <f t="shared" si="125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3">
        <v>0</v>
      </c>
      <c r="L482" s="32">
        <v>0</v>
      </c>
      <c r="M482" s="32">
        <v>415.84</v>
      </c>
      <c r="N482" s="3">
        <v>2286681.85</v>
      </c>
      <c r="O482" s="32">
        <v>0</v>
      </c>
      <c r="P482" s="32">
        <v>0</v>
      </c>
      <c r="Q482" s="32">
        <v>0</v>
      </c>
      <c r="R482" s="3">
        <f t="shared" si="129"/>
        <v>0</v>
      </c>
      <c r="S482" s="32">
        <v>0</v>
      </c>
      <c r="T482" s="32">
        <v>0</v>
      </c>
      <c r="U482" s="32">
        <v>0</v>
      </c>
      <c r="V482" s="6">
        <f t="shared" si="126"/>
        <v>5498.9463495575228</v>
      </c>
    </row>
    <row r="483" spans="1:22" ht="24" customHeight="1" x14ac:dyDescent="0.3">
      <c r="A483" s="46" t="s">
        <v>1374</v>
      </c>
      <c r="B483" s="54" t="s">
        <v>575</v>
      </c>
      <c r="C483" s="2">
        <f t="shared" si="124"/>
        <v>2291630</v>
      </c>
      <c r="D483" s="3">
        <f t="shared" si="125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3">
        <v>0</v>
      </c>
      <c r="L483" s="32">
        <v>0</v>
      </c>
      <c r="M483" s="32">
        <v>416.66</v>
      </c>
      <c r="N483" s="3">
        <v>2291630</v>
      </c>
      <c r="O483" s="32">
        <v>0</v>
      </c>
      <c r="P483" s="32">
        <v>0</v>
      </c>
      <c r="Q483" s="32">
        <v>0</v>
      </c>
      <c r="R483" s="3">
        <f t="shared" si="129"/>
        <v>0</v>
      </c>
      <c r="S483" s="32">
        <v>0</v>
      </c>
      <c r="T483" s="32">
        <v>0</v>
      </c>
      <c r="U483" s="32">
        <v>0</v>
      </c>
      <c r="V483" s="6">
        <f t="shared" si="126"/>
        <v>5500</v>
      </c>
    </row>
    <row r="484" spans="1:22" ht="24" customHeight="1" x14ac:dyDescent="0.3">
      <c r="A484" s="46" t="s">
        <v>1375</v>
      </c>
      <c r="B484" s="49" t="s">
        <v>576</v>
      </c>
      <c r="C484" s="2">
        <f t="shared" si="124"/>
        <v>2366100</v>
      </c>
      <c r="D484" s="3">
        <f t="shared" si="125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3">
        <v>0</v>
      </c>
      <c r="L484" s="32">
        <v>0</v>
      </c>
      <c r="M484" s="32">
        <v>430.2</v>
      </c>
      <c r="N484" s="3">
        <v>2366100</v>
      </c>
      <c r="O484" s="32">
        <v>0</v>
      </c>
      <c r="P484" s="32">
        <v>0</v>
      </c>
      <c r="Q484" s="32">
        <v>0</v>
      </c>
      <c r="R484" s="3">
        <f t="shared" si="129"/>
        <v>0</v>
      </c>
      <c r="S484" s="32">
        <v>0</v>
      </c>
      <c r="T484" s="32">
        <v>0</v>
      </c>
      <c r="U484" s="32">
        <v>0</v>
      </c>
      <c r="V484" s="6">
        <f t="shared" si="126"/>
        <v>5500</v>
      </c>
    </row>
    <row r="485" spans="1:22" ht="24" customHeight="1" x14ac:dyDescent="0.3">
      <c r="A485" s="46" t="s">
        <v>1376</v>
      </c>
      <c r="B485" s="54" t="s">
        <v>749</v>
      </c>
      <c r="C485" s="2">
        <f t="shared" si="124"/>
        <v>5664683.5099999998</v>
      </c>
      <c r="D485" s="3">
        <f t="shared" si="125"/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32">
        <v>674</v>
      </c>
      <c r="R485" s="3">
        <v>1480062.11</v>
      </c>
      <c r="S485" s="3">
        <v>0</v>
      </c>
      <c r="T485" s="32">
        <v>0</v>
      </c>
      <c r="U485" s="3">
        <v>199000</v>
      </c>
      <c r="V485" s="6">
        <f t="shared" si="126"/>
        <v>5459.2403419425245</v>
      </c>
    </row>
    <row r="486" spans="1:22" ht="24" customHeight="1" x14ac:dyDescent="0.3">
      <c r="A486" s="46" t="s">
        <v>1377</v>
      </c>
      <c r="B486" s="49" t="s">
        <v>577</v>
      </c>
      <c r="C486" s="2">
        <f t="shared" si="124"/>
        <v>979106.4</v>
      </c>
      <c r="D486" s="3">
        <f t="shared" si="125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3">
        <v>0</v>
      </c>
      <c r="L486" s="32">
        <v>0</v>
      </c>
      <c r="M486" s="32">
        <v>0</v>
      </c>
      <c r="N486" s="3">
        <v>0</v>
      </c>
      <c r="O486" s="32">
        <v>0</v>
      </c>
      <c r="P486" s="32">
        <v>0</v>
      </c>
      <c r="Q486" s="32">
        <v>396</v>
      </c>
      <c r="R486" s="3">
        <v>979106.4</v>
      </c>
      <c r="S486" s="32">
        <v>0</v>
      </c>
      <c r="T486" s="32">
        <v>0</v>
      </c>
      <c r="U486" s="32">
        <v>0</v>
      </c>
      <c r="V486" s="6" t="e">
        <f t="shared" si="126"/>
        <v>#DIV/0!</v>
      </c>
    </row>
    <row r="487" spans="1:22" ht="24" customHeight="1" x14ac:dyDescent="0.3">
      <c r="A487" s="46" t="s">
        <v>1378</v>
      </c>
      <c r="B487" s="49" t="s">
        <v>501</v>
      </c>
      <c r="C487" s="2">
        <f t="shared" si="124"/>
        <v>114858.13</v>
      </c>
      <c r="D487" s="3">
        <f t="shared" si="125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3">
        <v>0</v>
      </c>
      <c r="L487" s="32">
        <v>0</v>
      </c>
      <c r="M487" s="32">
        <v>0</v>
      </c>
      <c r="N487" s="3">
        <f>M487*5500</f>
        <v>0</v>
      </c>
      <c r="O487" s="32">
        <v>0</v>
      </c>
      <c r="P487" s="32">
        <v>0</v>
      </c>
      <c r="Q487" s="32">
        <v>0</v>
      </c>
      <c r="R487" s="3">
        <f t="shared" ref="R487:R495" si="130">Q487*3000</f>
        <v>0</v>
      </c>
      <c r="S487" s="32">
        <v>0</v>
      </c>
      <c r="T487" s="32">
        <v>0</v>
      </c>
      <c r="U487" s="32">
        <v>114858.13</v>
      </c>
      <c r="V487" s="6" t="e">
        <f t="shared" si="126"/>
        <v>#DIV/0!</v>
      </c>
    </row>
    <row r="488" spans="1:22" ht="24" customHeight="1" x14ac:dyDescent="0.3">
      <c r="A488" s="46" t="s">
        <v>1379</v>
      </c>
      <c r="B488" s="49" t="s">
        <v>505</v>
      </c>
      <c r="C488" s="2">
        <f t="shared" si="124"/>
        <v>102598.1</v>
      </c>
      <c r="D488" s="3">
        <f t="shared" si="125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3">
        <v>0</v>
      </c>
      <c r="L488" s="32">
        <v>0</v>
      </c>
      <c r="M488" s="32">
        <v>0</v>
      </c>
      <c r="N488" s="3">
        <f>M488*5500</f>
        <v>0</v>
      </c>
      <c r="O488" s="32">
        <v>0</v>
      </c>
      <c r="P488" s="32">
        <v>0</v>
      </c>
      <c r="Q488" s="32">
        <v>0</v>
      </c>
      <c r="R488" s="3">
        <f t="shared" si="130"/>
        <v>0</v>
      </c>
      <c r="S488" s="32">
        <v>0</v>
      </c>
      <c r="T488" s="32">
        <v>0</v>
      </c>
      <c r="U488" s="32">
        <v>102598.1</v>
      </c>
      <c r="V488" s="6" t="e">
        <f t="shared" si="126"/>
        <v>#DIV/0!</v>
      </c>
    </row>
    <row r="489" spans="1:22" ht="24" customHeight="1" x14ac:dyDescent="0.3">
      <c r="A489" s="46" t="s">
        <v>1380</v>
      </c>
      <c r="B489" s="49" t="s">
        <v>506</v>
      </c>
      <c r="C489" s="2">
        <f t="shared" si="124"/>
        <v>2214975.6</v>
      </c>
      <c r="D489" s="3">
        <f t="shared" si="125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3">
        <v>0</v>
      </c>
      <c r="L489" s="32">
        <v>0</v>
      </c>
      <c r="M489" s="32">
        <v>421</v>
      </c>
      <c r="N489" s="3">
        <v>2214975.6</v>
      </c>
      <c r="O489" s="32">
        <v>0</v>
      </c>
      <c r="P489" s="32">
        <v>0</v>
      </c>
      <c r="Q489" s="32">
        <v>0</v>
      </c>
      <c r="R489" s="3">
        <f t="shared" si="130"/>
        <v>0</v>
      </c>
      <c r="S489" s="32">
        <v>0</v>
      </c>
      <c r="T489" s="32">
        <v>0</v>
      </c>
      <c r="U489" s="32">
        <v>0</v>
      </c>
      <c r="V489" s="6">
        <f t="shared" si="126"/>
        <v>5261.2247030878862</v>
      </c>
    </row>
    <row r="490" spans="1:22" ht="24" customHeight="1" x14ac:dyDescent="0.3">
      <c r="A490" s="46" t="s">
        <v>1381</v>
      </c>
      <c r="B490" s="49" t="s">
        <v>578</v>
      </c>
      <c r="C490" s="2">
        <f t="shared" ref="C490:C553" si="131">D490+L490+N490+P490+R490+S490+T490+U490</f>
        <v>2200120.7999999998</v>
      </c>
      <c r="D490" s="3">
        <f t="shared" ref="D490:D553" si="132"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3">
        <v>0</v>
      </c>
      <c r="L490" s="32">
        <v>0</v>
      </c>
      <c r="M490" s="32">
        <v>477.72</v>
      </c>
      <c r="N490" s="3">
        <v>2200120.7999999998</v>
      </c>
      <c r="O490" s="32">
        <v>0</v>
      </c>
      <c r="P490" s="32">
        <v>0</v>
      </c>
      <c r="Q490" s="32">
        <v>0</v>
      </c>
      <c r="R490" s="3">
        <f t="shared" si="130"/>
        <v>0</v>
      </c>
      <c r="S490" s="32">
        <v>0</v>
      </c>
      <c r="T490" s="32">
        <v>0</v>
      </c>
      <c r="U490" s="32">
        <v>0</v>
      </c>
      <c r="V490" s="6">
        <f t="shared" ref="V490:V553" si="133">N490/M490</f>
        <v>4605.4609394624458</v>
      </c>
    </row>
    <row r="491" spans="1:22" ht="24" customHeight="1" x14ac:dyDescent="0.3">
      <c r="A491" s="46" t="s">
        <v>1382</v>
      </c>
      <c r="B491" s="49" t="s">
        <v>503</v>
      </c>
      <c r="C491" s="2">
        <f t="shared" si="131"/>
        <v>2311100</v>
      </c>
      <c r="D491" s="3">
        <f t="shared" si="132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3">
        <v>0</v>
      </c>
      <c r="L491" s="32">
        <v>0</v>
      </c>
      <c r="M491" s="32">
        <v>420.2</v>
      </c>
      <c r="N491" s="3">
        <v>2311100</v>
      </c>
      <c r="O491" s="32">
        <v>0</v>
      </c>
      <c r="P491" s="32">
        <v>0</v>
      </c>
      <c r="Q491" s="32">
        <v>0</v>
      </c>
      <c r="R491" s="3">
        <f t="shared" si="130"/>
        <v>0</v>
      </c>
      <c r="S491" s="32">
        <v>0</v>
      </c>
      <c r="T491" s="32">
        <v>0</v>
      </c>
      <c r="U491" s="32">
        <v>0</v>
      </c>
      <c r="V491" s="6">
        <f t="shared" si="133"/>
        <v>5500</v>
      </c>
    </row>
    <row r="492" spans="1:22" ht="24" customHeight="1" x14ac:dyDescent="0.3">
      <c r="A492" s="46" t="s">
        <v>1383</v>
      </c>
      <c r="B492" s="49" t="s">
        <v>504</v>
      </c>
      <c r="C492" s="2">
        <f t="shared" si="131"/>
        <v>2203597.2000000002</v>
      </c>
      <c r="D492" s="3">
        <f t="shared" si="132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3">
        <v>0</v>
      </c>
      <c r="L492" s="32">
        <v>0</v>
      </c>
      <c r="M492" s="32">
        <v>416.6</v>
      </c>
      <c r="N492" s="3">
        <v>2203597.2000000002</v>
      </c>
      <c r="O492" s="32">
        <v>0</v>
      </c>
      <c r="P492" s="32">
        <v>0</v>
      </c>
      <c r="Q492" s="32">
        <v>0</v>
      </c>
      <c r="R492" s="3">
        <f t="shared" si="130"/>
        <v>0</v>
      </c>
      <c r="S492" s="32">
        <v>0</v>
      </c>
      <c r="T492" s="32">
        <v>0</v>
      </c>
      <c r="U492" s="32">
        <v>0</v>
      </c>
      <c r="V492" s="6">
        <f t="shared" si="133"/>
        <v>5289.4795967354776</v>
      </c>
    </row>
    <row r="493" spans="1:22" ht="24" customHeight="1" x14ac:dyDescent="0.3">
      <c r="A493" s="46" t="s">
        <v>1384</v>
      </c>
      <c r="B493" s="49" t="s">
        <v>443</v>
      </c>
      <c r="C493" s="2">
        <f t="shared" si="131"/>
        <v>2233951.2000000002</v>
      </c>
      <c r="D493" s="3">
        <f t="shared" si="132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0"/>
        <v>0</v>
      </c>
      <c r="S493" s="3">
        <v>0</v>
      </c>
      <c r="T493" s="32">
        <v>0</v>
      </c>
      <c r="U493" s="3">
        <v>0</v>
      </c>
      <c r="V493" s="6">
        <f t="shared" si="133"/>
        <v>5370.0750000000007</v>
      </c>
    </row>
    <row r="494" spans="1:22" ht="24" customHeight="1" x14ac:dyDescent="0.3">
      <c r="A494" s="46" t="s">
        <v>1385</v>
      </c>
      <c r="B494" s="49" t="s">
        <v>444</v>
      </c>
      <c r="C494" s="2">
        <f t="shared" si="131"/>
        <v>2266000</v>
      </c>
      <c r="D494" s="3">
        <f t="shared" si="132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0"/>
        <v>0</v>
      </c>
      <c r="S494" s="3">
        <v>0</v>
      </c>
      <c r="T494" s="32">
        <v>0</v>
      </c>
      <c r="U494" s="3">
        <v>0</v>
      </c>
      <c r="V494" s="6">
        <f t="shared" si="133"/>
        <v>5500</v>
      </c>
    </row>
    <row r="495" spans="1:22" ht="24" customHeight="1" x14ac:dyDescent="0.3">
      <c r="A495" s="46" t="s">
        <v>1386</v>
      </c>
      <c r="B495" s="49" t="s">
        <v>507</v>
      </c>
      <c r="C495" s="2">
        <f t="shared" si="131"/>
        <v>2692184.4</v>
      </c>
      <c r="D495" s="3">
        <f t="shared" si="132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3">
        <v>0</v>
      </c>
      <c r="L495" s="32">
        <v>0</v>
      </c>
      <c r="M495" s="32">
        <v>489.6</v>
      </c>
      <c r="N495" s="3">
        <v>2692184.4</v>
      </c>
      <c r="O495" s="32">
        <v>0</v>
      </c>
      <c r="P495" s="32">
        <v>0</v>
      </c>
      <c r="Q495" s="32">
        <v>0</v>
      </c>
      <c r="R495" s="3">
        <f t="shared" si="130"/>
        <v>0</v>
      </c>
      <c r="S495" s="32">
        <v>0</v>
      </c>
      <c r="T495" s="32">
        <v>0</v>
      </c>
      <c r="U495" s="32">
        <v>0</v>
      </c>
      <c r="V495" s="6">
        <f t="shared" si="133"/>
        <v>5498.7426470588234</v>
      </c>
    </row>
    <row r="496" spans="1:22" ht="24" customHeight="1" x14ac:dyDescent="0.3">
      <c r="A496" s="46" t="s">
        <v>1387</v>
      </c>
      <c r="B496" s="49" t="s">
        <v>458</v>
      </c>
      <c r="C496" s="2">
        <f t="shared" si="131"/>
        <v>6086187.9000000004</v>
      </c>
      <c r="D496" s="3">
        <f t="shared" si="132"/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6" t="e">
        <f t="shared" si="133"/>
        <v>#DIV/0!</v>
      </c>
    </row>
    <row r="497" spans="1:22" ht="24" customHeight="1" x14ac:dyDescent="0.3">
      <c r="A497" s="46" t="s">
        <v>1388</v>
      </c>
      <c r="B497" s="49" t="s">
        <v>579</v>
      </c>
      <c r="C497" s="2">
        <f t="shared" si="131"/>
        <v>191593.73</v>
      </c>
      <c r="D497" s="3">
        <f t="shared" si="132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33">
        <v>0</v>
      </c>
      <c r="L497" s="32">
        <v>0</v>
      </c>
      <c r="M497" s="32">
        <v>0</v>
      </c>
      <c r="N497" s="32">
        <v>0</v>
      </c>
      <c r="O497" s="32">
        <v>0</v>
      </c>
      <c r="P497" s="32">
        <v>0</v>
      </c>
      <c r="Q497" s="32">
        <v>0</v>
      </c>
      <c r="R497" s="3">
        <f>Q497*3000</f>
        <v>0</v>
      </c>
      <c r="S497" s="32">
        <v>0</v>
      </c>
      <c r="T497" s="32">
        <v>0</v>
      </c>
      <c r="U497" s="32">
        <v>191593.73</v>
      </c>
      <c r="V497" s="6" t="e">
        <f t="shared" si="133"/>
        <v>#DIV/0!</v>
      </c>
    </row>
    <row r="498" spans="1:22" ht="24" customHeight="1" x14ac:dyDescent="0.3">
      <c r="A498" s="46" t="s">
        <v>1389</v>
      </c>
      <c r="B498" s="49" t="s">
        <v>508</v>
      </c>
      <c r="C498" s="2">
        <f t="shared" si="131"/>
        <v>4469499.5999999996</v>
      </c>
      <c r="D498" s="3">
        <f t="shared" si="132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3">
        <v>0</v>
      </c>
      <c r="L498" s="32">
        <v>0</v>
      </c>
      <c r="M498" s="32">
        <v>839.8</v>
      </c>
      <c r="N498" s="3">
        <v>4469499.5999999996</v>
      </c>
      <c r="O498" s="32">
        <v>0</v>
      </c>
      <c r="P498" s="32">
        <v>0</v>
      </c>
      <c r="Q498" s="32">
        <v>0</v>
      </c>
      <c r="R498" s="3">
        <f>Q498*3000</f>
        <v>0</v>
      </c>
      <c r="S498" s="32">
        <v>0</v>
      </c>
      <c r="T498" s="32">
        <v>0</v>
      </c>
      <c r="U498" s="32">
        <v>0</v>
      </c>
      <c r="V498" s="6">
        <f t="shared" si="133"/>
        <v>5322.1000238151937</v>
      </c>
    </row>
    <row r="499" spans="1:22" ht="24" customHeight="1" x14ac:dyDescent="0.3">
      <c r="A499" s="46" t="s">
        <v>1390</v>
      </c>
      <c r="B499" s="54" t="s">
        <v>509</v>
      </c>
      <c r="C499" s="2">
        <f t="shared" si="131"/>
        <v>96590.77</v>
      </c>
      <c r="D499" s="3">
        <f t="shared" si="132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3">
        <v>0</v>
      </c>
      <c r="L499" s="32">
        <v>0</v>
      </c>
      <c r="M499" s="32">
        <v>0</v>
      </c>
      <c r="N499" s="3">
        <f>M499*5500</f>
        <v>0</v>
      </c>
      <c r="O499" s="32">
        <v>0</v>
      </c>
      <c r="P499" s="32">
        <v>0</v>
      </c>
      <c r="Q499" s="32">
        <v>0</v>
      </c>
      <c r="R499" s="3">
        <f>Q499*3000</f>
        <v>0</v>
      </c>
      <c r="S499" s="32">
        <v>0</v>
      </c>
      <c r="T499" s="32">
        <v>0</v>
      </c>
      <c r="U499" s="32">
        <v>96590.77</v>
      </c>
      <c r="V499" s="6" t="e">
        <f t="shared" si="133"/>
        <v>#DIV/0!</v>
      </c>
    </row>
    <row r="500" spans="1:22" ht="24" customHeight="1" x14ac:dyDescent="0.3">
      <c r="A500" s="46" t="s">
        <v>1391</v>
      </c>
      <c r="B500" s="55" t="s">
        <v>854</v>
      </c>
      <c r="C500" s="2">
        <f t="shared" si="131"/>
        <v>573611.31999999995</v>
      </c>
      <c r="D500" s="3">
        <f t="shared" si="132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2">
        <v>0</v>
      </c>
      <c r="S500" s="3">
        <v>0</v>
      </c>
      <c r="T500" s="3">
        <v>0</v>
      </c>
      <c r="U500" s="3">
        <v>573611.31999999995</v>
      </c>
      <c r="V500" s="6" t="e">
        <f t="shared" si="133"/>
        <v>#DIV/0!</v>
      </c>
    </row>
    <row r="501" spans="1:22" ht="24" customHeight="1" x14ac:dyDescent="0.3">
      <c r="A501" s="46" t="s">
        <v>1392</v>
      </c>
      <c r="B501" s="49" t="s">
        <v>511</v>
      </c>
      <c r="C501" s="2">
        <f t="shared" si="131"/>
        <v>1477300</v>
      </c>
      <c r="D501" s="3">
        <f t="shared" si="132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3">
        <v>0</v>
      </c>
      <c r="L501" s="32">
        <v>0</v>
      </c>
      <c r="M501" s="32">
        <v>268.60000000000002</v>
      </c>
      <c r="N501" s="3">
        <v>1477300</v>
      </c>
      <c r="O501" s="32">
        <v>0</v>
      </c>
      <c r="P501" s="32">
        <v>0</v>
      </c>
      <c r="Q501" s="32">
        <v>0</v>
      </c>
      <c r="R501" s="3">
        <f>Q501*3000</f>
        <v>0</v>
      </c>
      <c r="S501" s="32">
        <v>0</v>
      </c>
      <c r="T501" s="32">
        <v>0</v>
      </c>
      <c r="U501" s="32">
        <v>0</v>
      </c>
      <c r="V501" s="6">
        <f t="shared" si="133"/>
        <v>5499.9999999999991</v>
      </c>
    </row>
    <row r="502" spans="1:22" ht="24" customHeight="1" x14ac:dyDescent="0.3">
      <c r="A502" s="46" t="s">
        <v>1393</v>
      </c>
      <c r="B502" s="55" t="s">
        <v>861</v>
      </c>
      <c r="C502" s="2">
        <f t="shared" si="131"/>
        <v>430499.34</v>
      </c>
      <c r="D502" s="3">
        <f t="shared" si="132"/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6" t="e">
        <f t="shared" si="133"/>
        <v>#DIV/0!</v>
      </c>
    </row>
    <row r="503" spans="1:22" ht="24" customHeight="1" x14ac:dyDescent="0.3">
      <c r="A503" s="46" t="s">
        <v>1394</v>
      </c>
      <c r="B503" s="49" t="s">
        <v>381</v>
      </c>
      <c r="C503" s="2">
        <f t="shared" si="131"/>
        <v>1368525.6</v>
      </c>
      <c r="D503" s="3">
        <f t="shared" si="132"/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 t="shared" si="133"/>
        <v>#DIV/0!</v>
      </c>
    </row>
    <row r="504" spans="1:22" ht="24" customHeight="1" x14ac:dyDescent="0.3">
      <c r="A504" s="46" t="s">
        <v>1395</v>
      </c>
      <c r="B504" s="49" t="s">
        <v>376</v>
      </c>
      <c r="C504" s="2">
        <f t="shared" si="131"/>
        <v>6167959.2000000002</v>
      </c>
      <c r="D504" s="3">
        <f t="shared" si="132"/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 t="shared" si="133"/>
        <v>#DIV/0!</v>
      </c>
    </row>
    <row r="505" spans="1:22" ht="24" customHeight="1" x14ac:dyDescent="0.3">
      <c r="A505" s="46" t="s">
        <v>1396</v>
      </c>
      <c r="B505" s="49" t="s">
        <v>371</v>
      </c>
      <c r="C505" s="2">
        <f t="shared" si="131"/>
        <v>3418366.8000000007</v>
      </c>
      <c r="D505" s="3">
        <f t="shared" si="132"/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 t="shared" si="133"/>
        <v>#DIV/0!</v>
      </c>
    </row>
    <row r="506" spans="1:22" ht="24" customHeight="1" x14ac:dyDescent="0.3">
      <c r="A506" s="46" t="s">
        <v>1397</v>
      </c>
      <c r="B506" s="49" t="s">
        <v>581</v>
      </c>
      <c r="C506" s="2">
        <f t="shared" si="131"/>
        <v>1247398.68</v>
      </c>
      <c r="D506" s="3">
        <f t="shared" si="132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3">
        <v>0</v>
      </c>
      <c r="L506" s="32">
        <v>0</v>
      </c>
      <c r="M506" s="32">
        <v>226.8</v>
      </c>
      <c r="N506" s="3">
        <v>1247398.68</v>
      </c>
      <c r="O506" s="32">
        <v>0</v>
      </c>
      <c r="P506" s="32">
        <v>0</v>
      </c>
      <c r="Q506" s="32">
        <v>0</v>
      </c>
      <c r="R506" s="3">
        <f t="shared" ref="R506:R518" si="134">Q506*3000</f>
        <v>0</v>
      </c>
      <c r="S506" s="32">
        <v>0</v>
      </c>
      <c r="T506" s="32">
        <v>0</v>
      </c>
      <c r="U506" s="32">
        <v>0</v>
      </c>
      <c r="V506" s="6">
        <f t="shared" si="133"/>
        <v>5499.9941798941791</v>
      </c>
    </row>
    <row r="507" spans="1:22" ht="24" customHeight="1" x14ac:dyDescent="0.3">
      <c r="A507" s="46" t="s">
        <v>1398</v>
      </c>
      <c r="B507" s="49" t="s">
        <v>513</v>
      </c>
      <c r="C507" s="2">
        <f t="shared" si="131"/>
        <v>1274787</v>
      </c>
      <c r="D507" s="3">
        <f t="shared" si="132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3">
        <v>0</v>
      </c>
      <c r="L507" s="32">
        <v>0</v>
      </c>
      <c r="M507" s="32">
        <v>231.78</v>
      </c>
      <c r="N507" s="3">
        <v>1274787</v>
      </c>
      <c r="O507" s="32">
        <v>0</v>
      </c>
      <c r="P507" s="32">
        <v>0</v>
      </c>
      <c r="Q507" s="32">
        <v>0</v>
      </c>
      <c r="R507" s="3">
        <f t="shared" si="134"/>
        <v>0</v>
      </c>
      <c r="S507" s="32">
        <v>0</v>
      </c>
      <c r="T507" s="32">
        <v>0</v>
      </c>
      <c r="U507" s="32">
        <v>0</v>
      </c>
      <c r="V507" s="6">
        <f t="shared" si="133"/>
        <v>5499.9870566916907</v>
      </c>
    </row>
    <row r="508" spans="1:22" ht="25.2" customHeight="1" x14ac:dyDescent="0.3">
      <c r="A508" s="46" t="s">
        <v>1399</v>
      </c>
      <c r="B508" s="49" t="s">
        <v>514</v>
      </c>
      <c r="C508" s="2">
        <f t="shared" si="131"/>
        <v>1302381.97</v>
      </c>
      <c r="D508" s="3">
        <f t="shared" si="132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3">
        <v>0</v>
      </c>
      <c r="L508" s="32">
        <v>0</v>
      </c>
      <c r="M508" s="32">
        <v>236.8</v>
      </c>
      <c r="N508" s="3">
        <v>1302381.97</v>
      </c>
      <c r="O508" s="32">
        <v>0</v>
      </c>
      <c r="P508" s="32">
        <v>0</v>
      </c>
      <c r="Q508" s="32">
        <v>0</v>
      </c>
      <c r="R508" s="3">
        <f t="shared" si="134"/>
        <v>0</v>
      </c>
      <c r="S508" s="32">
        <v>0</v>
      </c>
      <c r="T508" s="32">
        <v>0</v>
      </c>
      <c r="U508" s="32">
        <v>0</v>
      </c>
      <c r="V508" s="6">
        <f t="shared" si="133"/>
        <v>5499.9238597972972</v>
      </c>
    </row>
    <row r="509" spans="1:22" ht="25.2" customHeight="1" x14ac:dyDescent="0.3">
      <c r="A509" s="46" t="s">
        <v>1400</v>
      </c>
      <c r="B509" s="49" t="s">
        <v>512</v>
      </c>
      <c r="C509" s="2">
        <f t="shared" si="131"/>
        <v>2044841.01</v>
      </c>
      <c r="D509" s="3">
        <f t="shared" si="132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3">
        <v>0</v>
      </c>
      <c r="L509" s="32">
        <v>0</v>
      </c>
      <c r="M509" s="32">
        <v>371.79</v>
      </c>
      <c r="N509" s="3">
        <v>2044841.01</v>
      </c>
      <c r="O509" s="32">
        <v>0</v>
      </c>
      <c r="P509" s="32">
        <v>0</v>
      </c>
      <c r="Q509" s="32">
        <v>0</v>
      </c>
      <c r="R509" s="3">
        <f t="shared" si="134"/>
        <v>0</v>
      </c>
      <c r="S509" s="32">
        <v>0</v>
      </c>
      <c r="T509" s="32">
        <v>0</v>
      </c>
      <c r="U509" s="32">
        <v>0</v>
      </c>
      <c r="V509" s="6">
        <f t="shared" si="133"/>
        <v>5499.9892681352376</v>
      </c>
    </row>
    <row r="510" spans="1:22" ht="25.2" customHeight="1" x14ac:dyDescent="0.3">
      <c r="A510" s="46" t="s">
        <v>1401</v>
      </c>
      <c r="B510" s="49" t="s">
        <v>580</v>
      </c>
      <c r="C510" s="2">
        <f t="shared" si="131"/>
        <v>4991248.0999999996</v>
      </c>
      <c r="D510" s="3">
        <f t="shared" si="132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3">
        <v>0</v>
      </c>
      <c r="L510" s="32">
        <v>0</v>
      </c>
      <c r="M510" s="32">
        <v>907.5</v>
      </c>
      <c r="N510" s="3">
        <v>4991248.0999999996</v>
      </c>
      <c r="O510" s="32">
        <v>0</v>
      </c>
      <c r="P510" s="32">
        <v>0</v>
      </c>
      <c r="Q510" s="32">
        <v>0</v>
      </c>
      <c r="R510" s="3">
        <f t="shared" si="134"/>
        <v>0</v>
      </c>
      <c r="S510" s="32">
        <v>0</v>
      </c>
      <c r="T510" s="32">
        <v>0</v>
      </c>
      <c r="U510" s="32">
        <v>0</v>
      </c>
      <c r="V510" s="6">
        <f t="shared" si="133"/>
        <v>5499.9979063360879</v>
      </c>
    </row>
    <row r="511" spans="1:22" ht="24" customHeight="1" x14ac:dyDescent="0.3">
      <c r="A511" s="46" t="s">
        <v>1402</v>
      </c>
      <c r="B511" s="54" t="s">
        <v>582</v>
      </c>
      <c r="C511" s="2">
        <f t="shared" si="131"/>
        <v>4452702</v>
      </c>
      <c r="D511" s="3">
        <f t="shared" si="132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3">
        <v>0</v>
      </c>
      <c r="L511" s="32">
        <v>0</v>
      </c>
      <c r="M511" s="32">
        <v>810.6</v>
      </c>
      <c r="N511" s="3">
        <v>4452702</v>
      </c>
      <c r="O511" s="32">
        <v>0</v>
      </c>
      <c r="P511" s="32">
        <v>0</v>
      </c>
      <c r="Q511" s="32">
        <v>0</v>
      </c>
      <c r="R511" s="3">
        <f t="shared" si="134"/>
        <v>0</v>
      </c>
      <c r="S511" s="32">
        <v>0</v>
      </c>
      <c r="T511" s="32">
        <v>0</v>
      </c>
      <c r="U511" s="32">
        <v>0</v>
      </c>
      <c r="V511" s="6">
        <f t="shared" si="133"/>
        <v>5493.0940044411545</v>
      </c>
    </row>
    <row r="512" spans="1:22" ht="24" customHeight="1" x14ac:dyDescent="0.3">
      <c r="A512" s="46" t="s">
        <v>1403</v>
      </c>
      <c r="B512" s="54" t="s">
        <v>583</v>
      </c>
      <c r="C512" s="2">
        <f t="shared" si="131"/>
        <v>1353697.95</v>
      </c>
      <c r="D512" s="3">
        <f t="shared" si="132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3">
        <v>0</v>
      </c>
      <c r="L512" s="32">
        <v>0</v>
      </c>
      <c r="M512" s="32">
        <v>261.5</v>
      </c>
      <c r="N512" s="3">
        <v>1353697.95</v>
      </c>
      <c r="O512" s="32">
        <v>0</v>
      </c>
      <c r="P512" s="32">
        <v>0</v>
      </c>
      <c r="Q512" s="32">
        <v>0</v>
      </c>
      <c r="R512" s="3">
        <f t="shared" si="134"/>
        <v>0</v>
      </c>
      <c r="S512" s="32">
        <v>0</v>
      </c>
      <c r="T512" s="32">
        <v>0</v>
      </c>
      <c r="U512" s="32">
        <v>0</v>
      </c>
      <c r="V512" s="6">
        <f t="shared" si="133"/>
        <v>5176.6652007648181</v>
      </c>
    </row>
    <row r="513" spans="1:22" ht="24" customHeight="1" x14ac:dyDescent="0.3">
      <c r="A513" s="46" t="s">
        <v>1404</v>
      </c>
      <c r="B513" s="54" t="s">
        <v>584</v>
      </c>
      <c r="C513" s="2">
        <f t="shared" si="131"/>
        <v>2521772.96</v>
      </c>
      <c r="D513" s="3">
        <f t="shared" si="132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3">
        <v>0</v>
      </c>
      <c r="L513" s="32">
        <v>0</v>
      </c>
      <c r="M513" s="32">
        <v>522.20000000000005</v>
      </c>
      <c r="N513" s="3">
        <v>2521772.96</v>
      </c>
      <c r="O513" s="32">
        <v>0</v>
      </c>
      <c r="P513" s="32">
        <v>0</v>
      </c>
      <c r="Q513" s="32">
        <v>0</v>
      </c>
      <c r="R513" s="3">
        <f t="shared" si="134"/>
        <v>0</v>
      </c>
      <c r="S513" s="32">
        <v>0</v>
      </c>
      <c r="T513" s="32">
        <v>0</v>
      </c>
      <c r="U513" s="32">
        <v>0</v>
      </c>
      <c r="V513" s="6">
        <f t="shared" si="133"/>
        <v>4829.1324396782838</v>
      </c>
    </row>
    <row r="514" spans="1:22" ht="24" customHeight="1" x14ac:dyDescent="0.3">
      <c r="A514" s="46" t="s">
        <v>1405</v>
      </c>
      <c r="B514" s="49" t="s">
        <v>515</v>
      </c>
      <c r="C514" s="2">
        <f t="shared" si="131"/>
        <v>1990104</v>
      </c>
      <c r="D514" s="3">
        <f t="shared" si="132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3">
        <v>0</v>
      </c>
      <c r="L514" s="32">
        <v>0</v>
      </c>
      <c r="M514" s="32">
        <v>367.34</v>
      </c>
      <c r="N514" s="3">
        <v>1990104</v>
      </c>
      <c r="O514" s="32">
        <v>0</v>
      </c>
      <c r="P514" s="32">
        <v>0</v>
      </c>
      <c r="Q514" s="32">
        <v>0</v>
      </c>
      <c r="R514" s="3">
        <f t="shared" si="134"/>
        <v>0</v>
      </c>
      <c r="S514" s="32">
        <v>0</v>
      </c>
      <c r="T514" s="32">
        <v>0</v>
      </c>
      <c r="U514" s="32">
        <v>0</v>
      </c>
      <c r="V514" s="6">
        <f t="shared" si="133"/>
        <v>5417.6076659225791</v>
      </c>
    </row>
    <row r="515" spans="1:22" ht="24" customHeight="1" x14ac:dyDescent="0.3">
      <c r="A515" s="46" t="s">
        <v>1406</v>
      </c>
      <c r="B515" s="49" t="s">
        <v>585</v>
      </c>
      <c r="C515" s="2">
        <f t="shared" si="131"/>
        <v>1323965.02</v>
      </c>
      <c r="D515" s="3">
        <f t="shared" si="132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3">
        <v>0</v>
      </c>
      <c r="L515" s="32">
        <v>0</v>
      </c>
      <c r="M515" s="32">
        <v>258.02</v>
      </c>
      <c r="N515" s="3">
        <v>1323965.02</v>
      </c>
      <c r="O515" s="32">
        <v>0</v>
      </c>
      <c r="P515" s="32">
        <v>0</v>
      </c>
      <c r="Q515" s="32">
        <v>0</v>
      </c>
      <c r="R515" s="3">
        <f t="shared" si="134"/>
        <v>0</v>
      </c>
      <c r="S515" s="32">
        <v>0</v>
      </c>
      <c r="T515" s="32">
        <v>0</v>
      </c>
      <c r="U515" s="32">
        <v>0</v>
      </c>
      <c r="V515" s="6">
        <f t="shared" si="133"/>
        <v>5131.2495930548021</v>
      </c>
    </row>
    <row r="516" spans="1:22" ht="24" customHeight="1" x14ac:dyDescent="0.3">
      <c r="A516" s="46" t="s">
        <v>1407</v>
      </c>
      <c r="B516" s="49" t="s">
        <v>516</v>
      </c>
      <c r="C516" s="2">
        <f t="shared" si="131"/>
        <v>1287855.23</v>
      </c>
      <c r="D516" s="3">
        <f t="shared" si="132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3">
        <v>0</v>
      </c>
      <c r="L516" s="32">
        <v>0</v>
      </c>
      <c r="M516" s="32">
        <v>258.02</v>
      </c>
      <c r="N516" s="3">
        <v>1287855.23</v>
      </c>
      <c r="O516" s="32">
        <v>0</v>
      </c>
      <c r="P516" s="32">
        <v>0</v>
      </c>
      <c r="Q516" s="32">
        <v>0</v>
      </c>
      <c r="R516" s="3">
        <f t="shared" si="134"/>
        <v>0</v>
      </c>
      <c r="S516" s="32">
        <v>0</v>
      </c>
      <c r="T516" s="32">
        <v>0</v>
      </c>
      <c r="U516" s="32">
        <v>0</v>
      </c>
      <c r="V516" s="6">
        <f t="shared" si="133"/>
        <v>4991.3000155026748</v>
      </c>
    </row>
    <row r="517" spans="1:22" ht="24" customHeight="1" x14ac:dyDescent="0.3">
      <c r="A517" s="46" t="s">
        <v>1408</v>
      </c>
      <c r="B517" s="49" t="s">
        <v>586</v>
      </c>
      <c r="C517" s="2">
        <f t="shared" si="131"/>
        <v>4356017.5999999996</v>
      </c>
      <c r="D517" s="3">
        <f t="shared" si="132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3">
        <v>0</v>
      </c>
      <c r="L517" s="32">
        <v>0</v>
      </c>
      <c r="M517" s="32">
        <v>955.2</v>
      </c>
      <c r="N517" s="3">
        <v>4356017.5999999996</v>
      </c>
      <c r="O517" s="32">
        <v>0</v>
      </c>
      <c r="P517" s="32">
        <v>0</v>
      </c>
      <c r="Q517" s="32">
        <v>0</v>
      </c>
      <c r="R517" s="3">
        <f t="shared" si="134"/>
        <v>0</v>
      </c>
      <c r="S517" s="32">
        <v>0</v>
      </c>
      <c r="T517" s="32">
        <v>0</v>
      </c>
      <c r="U517" s="32">
        <v>0</v>
      </c>
      <c r="V517" s="6">
        <f t="shared" si="133"/>
        <v>4560.3199329983245</v>
      </c>
    </row>
    <row r="518" spans="1:22" ht="24" customHeight="1" x14ac:dyDescent="0.3">
      <c r="A518" s="46" t="s">
        <v>1409</v>
      </c>
      <c r="B518" s="49" t="s">
        <v>587</v>
      </c>
      <c r="C518" s="2">
        <f t="shared" si="131"/>
        <v>2337500</v>
      </c>
      <c r="D518" s="3">
        <f t="shared" si="132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3">
        <v>0</v>
      </c>
      <c r="L518" s="32">
        <v>0</v>
      </c>
      <c r="M518" s="32">
        <v>425</v>
      </c>
      <c r="N518" s="3">
        <f>M518*5500</f>
        <v>2337500</v>
      </c>
      <c r="O518" s="32">
        <v>0</v>
      </c>
      <c r="P518" s="32">
        <v>0</v>
      </c>
      <c r="Q518" s="32">
        <v>0</v>
      </c>
      <c r="R518" s="3">
        <f t="shared" si="134"/>
        <v>0</v>
      </c>
      <c r="S518" s="32">
        <v>0</v>
      </c>
      <c r="T518" s="32">
        <v>0</v>
      </c>
      <c r="U518" s="32">
        <v>0</v>
      </c>
      <c r="V518" s="6">
        <f t="shared" si="133"/>
        <v>5500</v>
      </c>
    </row>
    <row r="519" spans="1:22" ht="24" customHeight="1" x14ac:dyDescent="0.3">
      <c r="A519" s="46" t="s">
        <v>1410</v>
      </c>
      <c r="B519" s="49" t="s">
        <v>483</v>
      </c>
      <c r="C519" s="2">
        <f t="shared" si="131"/>
        <v>813519.83</v>
      </c>
      <c r="D519" s="3">
        <f t="shared" si="132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6" t="e">
        <f t="shared" si="133"/>
        <v>#DIV/0!</v>
      </c>
    </row>
    <row r="520" spans="1:22" ht="24" customHeight="1" x14ac:dyDescent="0.3">
      <c r="A520" s="46" t="s">
        <v>1411</v>
      </c>
      <c r="B520" s="49" t="s">
        <v>588</v>
      </c>
      <c r="C520" s="2">
        <f t="shared" si="131"/>
        <v>1385024.4</v>
      </c>
      <c r="D520" s="3">
        <f t="shared" si="132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3">
        <v>0</v>
      </c>
      <c r="L520" s="32">
        <v>0</v>
      </c>
      <c r="M520" s="32">
        <v>272</v>
      </c>
      <c r="N520" s="3">
        <v>1385024.4</v>
      </c>
      <c r="O520" s="32">
        <v>0</v>
      </c>
      <c r="P520" s="32">
        <v>0</v>
      </c>
      <c r="Q520" s="32">
        <v>0</v>
      </c>
      <c r="R520" s="3">
        <f>Q520*3000</f>
        <v>0</v>
      </c>
      <c r="S520" s="32">
        <v>0</v>
      </c>
      <c r="T520" s="32">
        <v>0</v>
      </c>
      <c r="U520" s="32">
        <v>0</v>
      </c>
      <c r="V520" s="6">
        <f t="shared" si="133"/>
        <v>5092.001470588235</v>
      </c>
    </row>
    <row r="521" spans="1:22" ht="24" customHeight="1" x14ac:dyDescent="0.3">
      <c r="A521" s="46" t="s">
        <v>1412</v>
      </c>
      <c r="B521" s="49" t="s">
        <v>589</v>
      </c>
      <c r="C521" s="2">
        <f t="shared" si="131"/>
        <v>2321295.6</v>
      </c>
      <c r="D521" s="3">
        <f t="shared" si="132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3">
        <v>0</v>
      </c>
      <c r="L521" s="32">
        <v>0</v>
      </c>
      <c r="M521" s="32">
        <v>473.5</v>
      </c>
      <c r="N521" s="3">
        <v>2321295.6</v>
      </c>
      <c r="O521" s="32">
        <v>0</v>
      </c>
      <c r="P521" s="32">
        <v>0</v>
      </c>
      <c r="Q521" s="32">
        <v>0</v>
      </c>
      <c r="R521" s="3">
        <f>Q521*3000</f>
        <v>0</v>
      </c>
      <c r="S521" s="32">
        <v>0</v>
      </c>
      <c r="T521" s="32">
        <v>0</v>
      </c>
      <c r="U521" s="32">
        <v>0</v>
      </c>
      <c r="V521" s="6">
        <f t="shared" si="133"/>
        <v>4902.4194297782469</v>
      </c>
    </row>
    <row r="522" spans="1:22" ht="24" customHeight="1" x14ac:dyDescent="0.3">
      <c r="A522" s="46" t="s">
        <v>1413</v>
      </c>
      <c r="B522" s="49" t="s">
        <v>445</v>
      </c>
      <c r="C522" s="2">
        <f t="shared" si="131"/>
        <v>4063024.8</v>
      </c>
      <c r="D522" s="3">
        <f t="shared" si="132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>Q522*3000</f>
        <v>0</v>
      </c>
      <c r="S522" s="3">
        <v>0</v>
      </c>
      <c r="T522" s="32">
        <v>0</v>
      </c>
      <c r="U522" s="3">
        <v>0</v>
      </c>
      <c r="V522" s="6">
        <f t="shared" si="133"/>
        <v>6524.8511321663718</v>
      </c>
    </row>
    <row r="523" spans="1:22" ht="24" customHeight="1" x14ac:dyDescent="0.3">
      <c r="A523" s="46" t="s">
        <v>1414</v>
      </c>
      <c r="B523" s="49" t="s">
        <v>590</v>
      </c>
      <c r="C523" s="2">
        <f t="shared" si="131"/>
        <v>1303063.2</v>
      </c>
      <c r="D523" s="3">
        <f t="shared" si="132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3">
        <v>0</v>
      </c>
      <c r="L523" s="32">
        <v>0</v>
      </c>
      <c r="M523" s="32">
        <v>243.9</v>
      </c>
      <c r="N523" s="3">
        <v>1303063.2</v>
      </c>
      <c r="O523" s="32">
        <v>0</v>
      </c>
      <c r="P523" s="32">
        <v>0</v>
      </c>
      <c r="Q523" s="32">
        <v>0</v>
      </c>
      <c r="R523" s="3">
        <f>Q523*3000</f>
        <v>0</v>
      </c>
      <c r="S523" s="32">
        <v>0</v>
      </c>
      <c r="T523" s="32">
        <v>0</v>
      </c>
      <c r="U523" s="32">
        <v>0</v>
      </c>
      <c r="V523" s="6">
        <f t="shared" si="133"/>
        <v>5342.6125461254605</v>
      </c>
    </row>
    <row r="524" spans="1:22" ht="24" customHeight="1" x14ac:dyDescent="0.3">
      <c r="A524" s="46" t="s">
        <v>1415</v>
      </c>
      <c r="B524" s="49" t="s">
        <v>517</v>
      </c>
      <c r="C524" s="2">
        <f t="shared" si="131"/>
        <v>3138140.4</v>
      </c>
      <c r="D524" s="3">
        <f t="shared" si="132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3">
        <v>0</v>
      </c>
      <c r="L524" s="32">
        <v>0</v>
      </c>
      <c r="M524" s="32">
        <v>708.6</v>
      </c>
      <c r="N524" s="3">
        <v>3138140.4</v>
      </c>
      <c r="O524" s="32">
        <v>0</v>
      </c>
      <c r="P524" s="32">
        <v>0</v>
      </c>
      <c r="Q524" s="32">
        <v>0</v>
      </c>
      <c r="R524" s="3">
        <f>Q524*3000</f>
        <v>0</v>
      </c>
      <c r="S524" s="32">
        <v>0</v>
      </c>
      <c r="T524" s="32">
        <v>0</v>
      </c>
      <c r="U524" s="32">
        <v>0</v>
      </c>
      <c r="V524" s="6">
        <f t="shared" si="133"/>
        <v>4428.6486028789159</v>
      </c>
    </row>
    <row r="525" spans="1:22" ht="24" customHeight="1" x14ac:dyDescent="0.3">
      <c r="A525" s="46" t="s">
        <v>1416</v>
      </c>
      <c r="B525" s="49" t="s">
        <v>890</v>
      </c>
      <c r="C525" s="2">
        <f t="shared" si="131"/>
        <v>9477236.2200000007</v>
      </c>
      <c r="D525" s="3">
        <f t="shared" si="132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3">
        <v>6</v>
      </c>
      <c r="L525" s="32">
        <v>9477236.2200000007</v>
      </c>
      <c r="M525" s="32">
        <v>0</v>
      </c>
      <c r="N525" s="32">
        <v>0</v>
      </c>
      <c r="O525" s="32">
        <v>0</v>
      </c>
      <c r="P525" s="32">
        <v>0</v>
      </c>
      <c r="Q525" s="32">
        <v>0</v>
      </c>
      <c r="R525" s="32">
        <v>0</v>
      </c>
      <c r="S525" s="32">
        <v>0</v>
      </c>
      <c r="T525" s="32">
        <v>0</v>
      </c>
      <c r="U525" s="32">
        <v>0</v>
      </c>
      <c r="V525" s="6" t="e">
        <f t="shared" si="133"/>
        <v>#DIV/0!</v>
      </c>
    </row>
    <row r="526" spans="1:22" ht="24" customHeight="1" x14ac:dyDescent="0.3">
      <c r="A526" s="46" t="s">
        <v>1417</v>
      </c>
      <c r="B526" s="49" t="s">
        <v>591</v>
      </c>
      <c r="C526" s="2">
        <f t="shared" si="131"/>
        <v>2448645.6</v>
      </c>
      <c r="D526" s="3">
        <f t="shared" si="132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3">
        <v>0</v>
      </c>
      <c r="L526" s="32">
        <v>0</v>
      </c>
      <c r="M526" s="32">
        <v>447.18</v>
      </c>
      <c r="N526" s="3">
        <v>2448645.6</v>
      </c>
      <c r="O526" s="32">
        <v>0</v>
      </c>
      <c r="P526" s="32">
        <v>0</v>
      </c>
      <c r="Q526" s="32">
        <v>0</v>
      </c>
      <c r="R526" s="3">
        <f>Q526*3000</f>
        <v>0</v>
      </c>
      <c r="S526" s="32">
        <v>0</v>
      </c>
      <c r="T526" s="32">
        <v>0</v>
      </c>
      <c r="U526" s="32">
        <v>0</v>
      </c>
      <c r="V526" s="6">
        <f t="shared" si="133"/>
        <v>5475.7493626727492</v>
      </c>
    </row>
    <row r="527" spans="1:22" ht="24" customHeight="1" x14ac:dyDescent="0.3">
      <c r="A527" s="46" t="s">
        <v>1418</v>
      </c>
      <c r="B527" s="49" t="s">
        <v>592</v>
      </c>
      <c r="C527" s="2">
        <f t="shared" si="131"/>
        <v>3549086.4</v>
      </c>
      <c r="D527" s="3">
        <f t="shared" si="132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3">
        <v>0</v>
      </c>
      <c r="L527" s="32">
        <v>0</v>
      </c>
      <c r="M527" s="32">
        <v>714</v>
      </c>
      <c r="N527" s="3">
        <v>3549086.4</v>
      </c>
      <c r="O527" s="32">
        <v>0</v>
      </c>
      <c r="P527" s="32">
        <v>0</v>
      </c>
      <c r="Q527" s="32">
        <v>0</v>
      </c>
      <c r="R527" s="3">
        <f>Q527*3000</f>
        <v>0</v>
      </c>
      <c r="S527" s="32">
        <v>0</v>
      </c>
      <c r="T527" s="32">
        <v>0</v>
      </c>
      <c r="U527" s="32">
        <v>0</v>
      </c>
      <c r="V527" s="6">
        <f t="shared" si="133"/>
        <v>4970.709243697479</v>
      </c>
    </row>
    <row r="528" spans="1:22" ht="24" customHeight="1" x14ac:dyDescent="0.3">
      <c r="A528" s="46" t="s">
        <v>1419</v>
      </c>
      <c r="B528" s="49" t="s">
        <v>387</v>
      </c>
      <c r="C528" s="2">
        <f t="shared" si="131"/>
        <v>6856242.0000000009</v>
      </c>
      <c r="D528" s="3">
        <f t="shared" si="132"/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6" t="e">
        <f t="shared" si="133"/>
        <v>#DIV/0!</v>
      </c>
    </row>
    <row r="529" spans="1:22" ht="24" customHeight="1" x14ac:dyDescent="0.3">
      <c r="A529" s="46" t="s">
        <v>1420</v>
      </c>
      <c r="B529" s="49" t="s">
        <v>1187</v>
      </c>
      <c r="C529" s="2">
        <f t="shared" si="131"/>
        <v>381352.32</v>
      </c>
      <c r="D529" s="3">
        <f t="shared" si="13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6" t="e">
        <f t="shared" si="133"/>
        <v>#DIV/0!</v>
      </c>
    </row>
    <row r="530" spans="1:22" ht="24" customHeight="1" x14ac:dyDescent="0.3">
      <c r="A530" s="46" t="s">
        <v>1421</v>
      </c>
      <c r="B530" s="49" t="s">
        <v>396</v>
      </c>
      <c r="C530" s="2">
        <f t="shared" si="131"/>
        <v>3076694.1100000003</v>
      </c>
      <c r="D530" s="3">
        <f t="shared" si="13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6" t="e">
        <f t="shared" si="133"/>
        <v>#DIV/0!</v>
      </c>
    </row>
    <row r="531" spans="1:22" ht="24" customHeight="1" x14ac:dyDescent="0.3">
      <c r="A531" s="46" t="s">
        <v>1422</v>
      </c>
      <c r="B531" s="54" t="s">
        <v>593</v>
      </c>
      <c r="C531" s="2">
        <f t="shared" si="131"/>
        <v>3522743.25</v>
      </c>
      <c r="D531" s="3">
        <f t="shared" si="132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3">
        <v>0</v>
      </c>
      <c r="L531" s="32">
        <v>0</v>
      </c>
      <c r="M531" s="32">
        <v>678.16</v>
      </c>
      <c r="N531" s="3">
        <v>3522743.25</v>
      </c>
      <c r="O531" s="32">
        <v>0</v>
      </c>
      <c r="P531" s="32">
        <v>0</v>
      </c>
      <c r="Q531" s="32">
        <v>0</v>
      </c>
      <c r="R531" s="3">
        <f t="shared" ref="R531:R537" si="135">Q531*3000</f>
        <v>0</v>
      </c>
      <c r="S531" s="32">
        <v>0</v>
      </c>
      <c r="T531" s="32">
        <v>0</v>
      </c>
      <c r="U531" s="32">
        <v>0</v>
      </c>
      <c r="V531" s="6">
        <f t="shared" si="133"/>
        <v>5194.5606494042704</v>
      </c>
    </row>
    <row r="532" spans="1:22" ht="24" customHeight="1" x14ac:dyDescent="0.3">
      <c r="A532" s="46" t="s">
        <v>1423</v>
      </c>
      <c r="B532" s="49" t="s">
        <v>519</v>
      </c>
      <c r="C532" s="2">
        <f t="shared" si="131"/>
        <v>2494800</v>
      </c>
      <c r="D532" s="3">
        <f t="shared" si="132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3">
        <v>0</v>
      </c>
      <c r="L532" s="32">
        <v>0</v>
      </c>
      <c r="M532" s="32">
        <v>453.6</v>
      </c>
      <c r="N532" s="3">
        <v>2494800</v>
      </c>
      <c r="O532" s="32">
        <v>0</v>
      </c>
      <c r="P532" s="32">
        <v>0</v>
      </c>
      <c r="Q532" s="32">
        <v>0</v>
      </c>
      <c r="R532" s="3">
        <f t="shared" si="135"/>
        <v>0</v>
      </c>
      <c r="S532" s="32">
        <v>0</v>
      </c>
      <c r="T532" s="32">
        <v>0</v>
      </c>
      <c r="U532" s="32">
        <v>0</v>
      </c>
      <c r="V532" s="6">
        <f t="shared" si="133"/>
        <v>5500</v>
      </c>
    </row>
    <row r="533" spans="1:22" ht="24" customHeight="1" x14ac:dyDescent="0.3">
      <c r="A533" s="46" t="s">
        <v>1424</v>
      </c>
      <c r="B533" s="49" t="s">
        <v>520</v>
      </c>
      <c r="C533" s="2">
        <f t="shared" si="131"/>
        <v>2494799.9500000002</v>
      </c>
      <c r="D533" s="3">
        <f t="shared" si="132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3">
        <v>0</v>
      </c>
      <c r="L533" s="32">
        <v>0</v>
      </c>
      <c r="M533" s="32">
        <v>455</v>
      </c>
      <c r="N533" s="3">
        <v>2494799.9500000002</v>
      </c>
      <c r="O533" s="32">
        <v>0</v>
      </c>
      <c r="P533" s="32">
        <v>0</v>
      </c>
      <c r="Q533" s="32">
        <v>0</v>
      </c>
      <c r="R533" s="3">
        <f t="shared" si="135"/>
        <v>0</v>
      </c>
      <c r="S533" s="32">
        <v>0</v>
      </c>
      <c r="T533" s="32">
        <v>0</v>
      </c>
      <c r="U533" s="32">
        <v>0</v>
      </c>
      <c r="V533" s="6">
        <f t="shared" si="133"/>
        <v>5483.0768131868135</v>
      </c>
    </row>
    <row r="534" spans="1:22" ht="24" customHeight="1" x14ac:dyDescent="0.3">
      <c r="A534" s="46" t="s">
        <v>1425</v>
      </c>
      <c r="B534" s="49" t="s">
        <v>521</v>
      </c>
      <c r="C534" s="2">
        <f t="shared" si="131"/>
        <v>1268288.3999999999</v>
      </c>
      <c r="D534" s="3">
        <f t="shared" si="132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3">
        <v>0</v>
      </c>
      <c r="L534" s="32">
        <v>0</v>
      </c>
      <c r="M534" s="32">
        <v>248.2</v>
      </c>
      <c r="N534" s="3">
        <v>1268288.3999999999</v>
      </c>
      <c r="O534" s="32">
        <v>0</v>
      </c>
      <c r="P534" s="32">
        <v>0</v>
      </c>
      <c r="Q534" s="32">
        <v>0</v>
      </c>
      <c r="R534" s="3">
        <f t="shared" si="135"/>
        <v>0</v>
      </c>
      <c r="S534" s="32">
        <v>0</v>
      </c>
      <c r="T534" s="32">
        <v>0</v>
      </c>
      <c r="U534" s="32">
        <v>0</v>
      </c>
      <c r="V534" s="6">
        <f t="shared" si="133"/>
        <v>5109.9452054794519</v>
      </c>
    </row>
    <row r="535" spans="1:22" ht="24" customHeight="1" x14ac:dyDescent="0.3">
      <c r="A535" s="46" t="s">
        <v>1426</v>
      </c>
      <c r="B535" s="49" t="s">
        <v>595</v>
      </c>
      <c r="C535" s="2">
        <f t="shared" si="131"/>
        <v>1276446.8400000001</v>
      </c>
      <c r="D535" s="3">
        <f t="shared" si="132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3">
        <v>0</v>
      </c>
      <c r="L535" s="32">
        <v>0</v>
      </c>
      <c r="M535" s="32">
        <v>257.60000000000002</v>
      </c>
      <c r="N535" s="3">
        <v>1276446.8400000001</v>
      </c>
      <c r="O535" s="32">
        <v>0</v>
      </c>
      <c r="P535" s="32">
        <v>0</v>
      </c>
      <c r="Q535" s="32">
        <v>0</v>
      </c>
      <c r="R535" s="3">
        <f t="shared" si="135"/>
        <v>0</v>
      </c>
      <c r="S535" s="32">
        <v>0</v>
      </c>
      <c r="T535" s="32">
        <v>0</v>
      </c>
      <c r="U535" s="32">
        <v>0</v>
      </c>
      <c r="V535" s="6">
        <f t="shared" si="133"/>
        <v>4955.1507763975151</v>
      </c>
    </row>
    <row r="536" spans="1:22" ht="24" customHeight="1" x14ac:dyDescent="0.3">
      <c r="A536" s="46" t="s">
        <v>1427</v>
      </c>
      <c r="B536" s="49" t="s">
        <v>596</v>
      </c>
      <c r="C536" s="2">
        <f t="shared" si="131"/>
        <v>1309782.2</v>
      </c>
      <c r="D536" s="3">
        <f t="shared" si="132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3">
        <v>0</v>
      </c>
      <c r="L536" s="32">
        <v>0</v>
      </c>
      <c r="M536" s="32">
        <v>274</v>
      </c>
      <c r="N536" s="3">
        <v>1309782.2</v>
      </c>
      <c r="O536" s="32">
        <v>0</v>
      </c>
      <c r="P536" s="32">
        <v>0</v>
      </c>
      <c r="Q536" s="32">
        <v>0</v>
      </c>
      <c r="R536" s="3">
        <f t="shared" si="135"/>
        <v>0</v>
      </c>
      <c r="S536" s="32">
        <v>0</v>
      </c>
      <c r="T536" s="32">
        <v>0</v>
      </c>
      <c r="U536" s="32">
        <v>0</v>
      </c>
      <c r="V536" s="6">
        <f t="shared" si="133"/>
        <v>4780.2270072992696</v>
      </c>
    </row>
    <row r="537" spans="1:22" ht="24" customHeight="1" x14ac:dyDescent="0.3">
      <c r="A537" s="46" t="s">
        <v>1428</v>
      </c>
      <c r="B537" s="49" t="s">
        <v>594</v>
      </c>
      <c r="C537" s="2">
        <f t="shared" si="131"/>
        <v>3233377.2</v>
      </c>
      <c r="D537" s="3">
        <f t="shared" si="132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3">
        <v>0</v>
      </c>
      <c r="L537" s="32">
        <v>0</v>
      </c>
      <c r="M537" s="32">
        <v>1014.6</v>
      </c>
      <c r="N537" s="3">
        <v>3233377.2</v>
      </c>
      <c r="O537" s="32">
        <v>0</v>
      </c>
      <c r="P537" s="32">
        <v>0</v>
      </c>
      <c r="Q537" s="32">
        <v>0</v>
      </c>
      <c r="R537" s="3">
        <f t="shared" si="135"/>
        <v>0</v>
      </c>
      <c r="S537" s="32">
        <v>0</v>
      </c>
      <c r="T537" s="32">
        <v>0</v>
      </c>
      <c r="U537" s="32">
        <v>0</v>
      </c>
      <c r="V537" s="6">
        <f t="shared" si="133"/>
        <v>3186.8492016558253</v>
      </c>
    </row>
    <row r="538" spans="1:22" ht="24" customHeight="1" x14ac:dyDescent="0.3">
      <c r="A538" s="46" t="s">
        <v>1429</v>
      </c>
      <c r="B538" s="49" t="s">
        <v>485</v>
      </c>
      <c r="C538" s="2">
        <f t="shared" si="131"/>
        <v>528478.31000000006</v>
      </c>
      <c r="D538" s="3">
        <f t="shared" si="132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6" t="e">
        <f t="shared" si="133"/>
        <v>#DIV/0!</v>
      </c>
    </row>
    <row r="539" spans="1:22" ht="24" customHeight="1" x14ac:dyDescent="0.3">
      <c r="A539" s="46" t="s">
        <v>1430</v>
      </c>
      <c r="B539" s="49" t="s">
        <v>486</v>
      </c>
      <c r="C539" s="2">
        <f t="shared" si="131"/>
        <v>444234.09</v>
      </c>
      <c r="D539" s="3">
        <f t="shared" si="132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6" t="e">
        <f t="shared" si="133"/>
        <v>#DIV/0!</v>
      </c>
    </row>
    <row r="540" spans="1:22" ht="24" customHeight="1" x14ac:dyDescent="0.3">
      <c r="A540" s="46" t="s">
        <v>1431</v>
      </c>
      <c r="B540" s="55" t="s">
        <v>859</v>
      </c>
      <c r="C540" s="2">
        <f t="shared" si="131"/>
        <v>309382.96000000002</v>
      </c>
      <c r="D540" s="3">
        <f t="shared" si="132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6" t="e">
        <f t="shared" si="133"/>
        <v>#DIV/0!</v>
      </c>
    </row>
    <row r="541" spans="1:22" ht="24" customHeight="1" x14ac:dyDescent="0.3">
      <c r="A541" s="46" t="s">
        <v>1432</v>
      </c>
      <c r="B541" s="49" t="s">
        <v>597</v>
      </c>
      <c r="C541" s="2">
        <f t="shared" si="131"/>
        <v>1455300</v>
      </c>
      <c r="D541" s="3">
        <f t="shared" si="132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3">
        <v>0</v>
      </c>
      <c r="L541" s="32">
        <v>0</v>
      </c>
      <c r="M541" s="32">
        <v>264.60000000000002</v>
      </c>
      <c r="N541" s="3">
        <v>1455300</v>
      </c>
      <c r="O541" s="32">
        <v>0</v>
      </c>
      <c r="P541" s="32">
        <v>0</v>
      </c>
      <c r="Q541" s="32">
        <v>0</v>
      </c>
      <c r="R541" s="3">
        <f>Q541*3000</f>
        <v>0</v>
      </c>
      <c r="S541" s="32">
        <v>0</v>
      </c>
      <c r="T541" s="32">
        <v>0</v>
      </c>
      <c r="U541" s="32">
        <v>0</v>
      </c>
      <c r="V541" s="6">
        <f t="shared" si="133"/>
        <v>5499.9999999999991</v>
      </c>
    </row>
    <row r="542" spans="1:22" ht="24" customHeight="1" x14ac:dyDescent="0.3">
      <c r="A542" s="46" t="s">
        <v>1433</v>
      </c>
      <c r="B542" s="49" t="s">
        <v>598</v>
      </c>
      <c r="C542" s="2">
        <f t="shared" si="131"/>
        <v>89215.03</v>
      </c>
      <c r="D542" s="3">
        <f t="shared" si="132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3">
        <v>0</v>
      </c>
      <c r="L542" s="32">
        <v>0</v>
      </c>
      <c r="M542" s="32">
        <v>0</v>
      </c>
      <c r="N542" s="3">
        <f>M542*5500</f>
        <v>0</v>
      </c>
      <c r="O542" s="32">
        <v>0</v>
      </c>
      <c r="P542" s="32">
        <v>0</v>
      </c>
      <c r="Q542" s="32">
        <v>0</v>
      </c>
      <c r="R542" s="3">
        <f>Q542*3000</f>
        <v>0</v>
      </c>
      <c r="S542" s="32">
        <v>0</v>
      </c>
      <c r="T542" s="32">
        <v>0</v>
      </c>
      <c r="U542" s="32">
        <v>89215.03</v>
      </c>
      <c r="V542" s="6" t="e">
        <f t="shared" si="133"/>
        <v>#DIV/0!</v>
      </c>
    </row>
    <row r="543" spans="1:22" ht="24" customHeight="1" x14ac:dyDescent="0.3">
      <c r="A543" s="46" t="s">
        <v>1434</v>
      </c>
      <c r="B543" s="49" t="s">
        <v>599</v>
      </c>
      <c r="C543" s="2">
        <f t="shared" si="131"/>
        <v>88503.16</v>
      </c>
      <c r="D543" s="3">
        <f t="shared" si="132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3">
        <v>0</v>
      </c>
      <c r="L543" s="32">
        <v>0</v>
      </c>
      <c r="M543" s="32">
        <v>0</v>
      </c>
      <c r="N543" s="3">
        <f>M543*5500</f>
        <v>0</v>
      </c>
      <c r="O543" s="32">
        <v>0</v>
      </c>
      <c r="P543" s="32">
        <v>0</v>
      </c>
      <c r="Q543" s="32">
        <v>0</v>
      </c>
      <c r="R543" s="3">
        <f>Q543*3000</f>
        <v>0</v>
      </c>
      <c r="S543" s="32">
        <v>0</v>
      </c>
      <c r="T543" s="32">
        <v>0</v>
      </c>
      <c r="U543" s="32">
        <v>88503.16</v>
      </c>
      <c r="V543" s="6" t="e">
        <f t="shared" si="133"/>
        <v>#DIV/0!</v>
      </c>
    </row>
    <row r="544" spans="1:22" ht="24" customHeight="1" x14ac:dyDescent="0.3">
      <c r="A544" s="46" t="s">
        <v>1435</v>
      </c>
      <c r="B544" s="55" t="s">
        <v>891</v>
      </c>
      <c r="C544" s="2">
        <f t="shared" si="131"/>
        <v>3440516.22</v>
      </c>
      <c r="D544" s="3">
        <f t="shared" si="132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6" t="e">
        <f t="shared" si="133"/>
        <v>#DIV/0!</v>
      </c>
    </row>
    <row r="545" spans="1:22" ht="24" customHeight="1" x14ac:dyDescent="0.3">
      <c r="A545" s="46" t="s">
        <v>1436</v>
      </c>
      <c r="B545" s="55" t="s">
        <v>866</v>
      </c>
      <c r="C545" s="2">
        <f t="shared" si="131"/>
        <v>5033631.7799999993</v>
      </c>
      <c r="D545" s="3">
        <f t="shared" si="132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6">
        <f t="shared" si="133"/>
        <v>3911.2276865671643</v>
      </c>
    </row>
    <row r="546" spans="1:22" ht="24" customHeight="1" x14ac:dyDescent="0.3">
      <c r="A546" s="46" t="s">
        <v>1437</v>
      </c>
      <c r="B546" s="49" t="s">
        <v>842</v>
      </c>
      <c r="C546" s="2">
        <f t="shared" si="131"/>
        <v>19015186.169999998</v>
      </c>
      <c r="D546" s="3">
        <f t="shared" si="132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33">
        <v>0</v>
      </c>
      <c r="L546" s="32">
        <v>0</v>
      </c>
      <c r="M546" s="32">
        <v>957</v>
      </c>
      <c r="N546" s="3">
        <v>3445304.2</v>
      </c>
      <c r="O546" s="32">
        <v>0</v>
      </c>
      <c r="P546" s="32">
        <v>0</v>
      </c>
      <c r="Q546" s="32">
        <v>2417</v>
      </c>
      <c r="R546" s="3">
        <v>6902212.7999999998</v>
      </c>
      <c r="S546" s="32">
        <v>0</v>
      </c>
      <c r="T546" s="32">
        <v>0</v>
      </c>
      <c r="U546" s="32">
        <v>287245.96999999997</v>
      </c>
      <c r="V546" s="6">
        <f t="shared" si="133"/>
        <v>3600.1088819226752</v>
      </c>
    </row>
    <row r="547" spans="1:22" ht="24" customHeight="1" x14ac:dyDescent="0.3">
      <c r="A547" s="46" t="s">
        <v>1438</v>
      </c>
      <c r="B547" s="55" t="s">
        <v>1200</v>
      </c>
      <c r="C547" s="2">
        <f t="shared" si="131"/>
        <v>405044.7</v>
      </c>
      <c r="D547" s="3">
        <f t="shared" si="132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6" t="e">
        <f t="shared" si="133"/>
        <v>#DIV/0!</v>
      </c>
    </row>
    <row r="548" spans="1:22" ht="24" customHeight="1" x14ac:dyDescent="0.3">
      <c r="A548" s="46" t="s">
        <v>1439</v>
      </c>
      <c r="B548" s="49" t="s">
        <v>603</v>
      </c>
      <c r="C548" s="2">
        <f t="shared" si="131"/>
        <v>10645250</v>
      </c>
      <c r="D548" s="3">
        <f t="shared" si="132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3">
        <v>0</v>
      </c>
      <c r="L548" s="32">
        <v>0</v>
      </c>
      <c r="M548" s="32">
        <v>1935.5</v>
      </c>
      <c r="N548" s="3">
        <v>10645250</v>
      </c>
      <c r="O548" s="32">
        <v>0</v>
      </c>
      <c r="P548" s="32">
        <v>0</v>
      </c>
      <c r="Q548" s="32">
        <v>0</v>
      </c>
      <c r="R548" s="3">
        <f>Q548*3000</f>
        <v>0</v>
      </c>
      <c r="S548" s="32">
        <v>0</v>
      </c>
      <c r="T548" s="32">
        <v>0</v>
      </c>
      <c r="U548" s="32">
        <v>0</v>
      </c>
      <c r="V548" s="6">
        <f t="shared" si="133"/>
        <v>5500</v>
      </c>
    </row>
    <row r="549" spans="1:22" ht="24" customHeight="1" x14ac:dyDescent="0.3">
      <c r="A549" s="46" t="s">
        <v>1440</v>
      </c>
      <c r="B549" s="49" t="s">
        <v>601</v>
      </c>
      <c r="C549" s="2">
        <f t="shared" si="131"/>
        <v>3241700</v>
      </c>
      <c r="D549" s="3">
        <f t="shared" si="132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3">
        <v>0</v>
      </c>
      <c r="L549" s="32">
        <v>0</v>
      </c>
      <c r="M549" s="32">
        <v>589.4</v>
      </c>
      <c r="N549" s="3">
        <v>3241700</v>
      </c>
      <c r="O549" s="32">
        <v>0</v>
      </c>
      <c r="P549" s="32">
        <v>0</v>
      </c>
      <c r="Q549" s="32">
        <v>0</v>
      </c>
      <c r="R549" s="3">
        <f>Q549*3000</f>
        <v>0</v>
      </c>
      <c r="S549" s="32">
        <v>0</v>
      </c>
      <c r="T549" s="32">
        <v>0</v>
      </c>
      <c r="U549" s="32">
        <v>0</v>
      </c>
      <c r="V549" s="6">
        <f t="shared" si="133"/>
        <v>5500</v>
      </c>
    </row>
    <row r="550" spans="1:22" ht="24" customHeight="1" x14ac:dyDescent="0.3">
      <c r="A550" s="46" t="s">
        <v>1441</v>
      </c>
      <c r="B550" s="49" t="s">
        <v>791</v>
      </c>
      <c r="C550" s="2">
        <f t="shared" si="131"/>
        <v>20745607.530000001</v>
      </c>
      <c r="D550" s="3">
        <f t="shared" si="132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32">
        <v>609.98</v>
      </c>
      <c r="N550" s="32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6">
        <f t="shared" si="133"/>
        <v>3124.0448867175969</v>
      </c>
    </row>
    <row r="551" spans="1:22" ht="24" customHeight="1" x14ac:dyDescent="0.3">
      <c r="A551" s="46" t="s">
        <v>1442</v>
      </c>
      <c r="B551" s="49" t="s">
        <v>604</v>
      </c>
      <c r="C551" s="2">
        <f t="shared" si="131"/>
        <v>2941440</v>
      </c>
      <c r="D551" s="3">
        <f t="shared" si="132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3">
        <v>0</v>
      </c>
      <c r="L551" s="32">
        <v>0</v>
      </c>
      <c r="M551" s="32">
        <v>262.08</v>
      </c>
      <c r="N551" s="3">
        <v>1441440</v>
      </c>
      <c r="O551" s="32">
        <v>0</v>
      </c>
      <c r="P551" s="32">
        <v>0</v>
      </c>
      <c r="Q551" s="32">
        <v>500</v>
      </c>
      <c r="R551" s="3">
        <v>1500000</v>
      </c>
      <c r="S551" s="32">
        <v>0</v>
      </c>
      <c r="T551" s="32">
        <v>0</v>
      </c>
      <c r="U551" s="32">
        <v>0</v>
      </c>
      <c r="V551" s="6">
        <f t="shared" si="133"/>
        <v>5500</v>
      </c>
    </row>
    <row r="552" spans="1:22" ht="24" customHeight="1" x14ac:dyDescent="0.3">
      <c r="A552" s="46" t="s">
        <v>1443</v>
      </c>
      <c r="B552" s="54" t="s">
        <v>605</v>
      </c>
      <c r="C552" s="2">
        <f t="shared" si="131"/>
        <v>1406877.6</v>
      </c>
      <c r="D552" s="3">
        <f t="shared" si="132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3">
        <v>0</v>
      </c>
      <c r="L552" s="32">
        <v>0</v>
      </c>
      <c r="M552" s="32">
        <v>261.97000000000003</v>
      </c>
      <c r="N552" s="3">
        <v>1406877.6</v>
      </c>
      <c r="O552" s="32">
        <v>0</v>
      </c>
      <c r="P552" s="32">
        <v>0</v>
      </c>
      <c r="Q552" s="32">
        <v>0</v>
      </c>
      <c r="R552" s="3">
        <f t="shared" ref="R552:R559" si="136">Q552*3000</f>
        <v>0</v>
      </c>
      <c r="S552" s="32">
        <v>0</v>
      </c>
      <c r="T552" s="32">
        <v>0</v>
      </c>
      <c r="U552" s="32">
        <v>0</v>
      </c>
      <c r="V552" s="6">
        <f t="shared" si="133"/>
        <v>5370.3767606977899</v>
      </c>
    </row>
    <row r="553" spans="1:22" ht="24" customHeight="1" x14ac:dyDescent="0.3">
      <c r="A553" s="46" t="s">
        <v>1444</v>
      </c>
      <c r="B553" s="49" t="s">
        <v>903</v>
      </c>
      <c r="C553" s="2">
        <f t="shared" si="131"/>
        <v>11716137.449999999</v>
      </c>
      <c r="D553" s="3">
        <f t="shared" si="132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3">
        <v>6</v>
      </c>
      <c r="L553" s="32">
        <v>11223000</v>
      </c>
      <c r="M553" s="32">
        <v>0</v>
      </c>
      <c r="N553" s="32">
        <v>0</v>
      </c>
      <c r="O553" s="32">
        <v>0</v>
      </c>
      <c r="P553" s="32">
        <v>0</v>
      </c>
      <c r="Q553" s="32">
        <v>0</v>
      </c>
      <c r="R553" s="3">
        <f t="shared" si="136"/>
        <v>0</v>
      </c>
      <c r="S553" s="32">
        <v>0</v>
      </c>
      <c r="T553" s="32">
        <v>0</v>
      </c>
      <c r="U553" s="32">
        <v>493137.45</v>
      </c>
      <c r="V553" s="6" t="e">
        <f t="shared" si="133"/>
        <v>#DIV/0!</v>
      </c>
    </row>
    <row r="554" spans="1:22" ht="24" customHeight="1" x14ac:dyDescent="0.3">
      <c r="A554" s="46" t="s">
        <v>1445</v>
      </c>
      <c r="B554" s="49" t="s">
        <v>522</v>
      </c>
      <c r="C554" s="2">
        <f t="shared" ref="C554:C617" si="137">D554+L554+N554+P554+R554+S554+T554+U554</f>
        <v>131456.18</v>
      </c>
      <c r="D554" s="3">
        <f t="shared" ref="D554:D617" si="13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3">
        <v>0</v>
      </c>
      <c r="L554" s="32">
        <v>0</v>
      </c>
      <c r="M554" s="32">
        <v>0</v>
      </c>
      <c r="N554" s="3">
        <v>0</v>
      </c>
      <c r="O554" s="32">
        <v>0</v>
      </c>
      <c r="P554" s="32">
        <v>0</v>
      </c>
      <c r="Q554" s="32">
        <v>0</v>
      </c>
      <c r="R554" s="3">
        <f t="shared" si="136"/>
        <v>0</v>
      </c>
      <c r="S554" s="32">
        <v>0</v>
      </c>
      <c r="T554" s="32">
        <v>0</v>
      </c>
      <c r="U554" s="32">
        <v>131456.18</v>
      </c>
      <c r="V554" s="6" t="e">
        <f t="shared" ref="V554:V617" si="139">N554/M554</f>
        <v>#DIV/0!</v>
      </c>
    </row>
    <row r="555" spans="1:22" ht="24" customHeight="1" x14ac:dyDescent="0.3">
      <c r="A555" s="46" t="s">
        <v>1446</v>
      </c>
      <c r="B555" s="49" t="s">
        <v>606</v>
      </c>
      <c r="C555" s="2">
        <f t="shared" si="137"/>
        <v>1407450</v>
      </c>
      <c r="D555" s="3">
        <f t="shared" si="13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3">
        <v>0</v>
      </c>
      <c r="L555" s="32">
        <v>0</v>
      </c>
      <c r="M555" s="32">
        <v>225.9</v>
      </c>
      <c r="N555" s="3">
        <v>1407450</v>
      </c>
      <c r="O555" s="32">
        <v>0</v>
      </c>
      <c r="P555" s="32">
        <v>0</v>
      </c>
      <c r="Q555" s="32">
        <v>0</v>
      </c>
      <c r="R555" s="3">
        <f t="shared" si="136"/>
        <v>0</v>
      </c>
      <c r="S555" s="32">
        <v>0</v>
      </c>
      <c r="T555" s="32">
        <v>0</v>
      </c>
      <c r="U555" s="32">
        <v>0</v>
      </c>
      <c r="V555" s="6">
        <f t="shared" si="139"/>
        <v>6230.4116865869855</v>
      </c>
    </row>
    <row r="556" spans="1:22" ht="24" customHeight="1" x14ac:dyDescent="0.3">
      <c r="A556" s="46" t="s">
        <v>1447</v>
      </c>
      <c r="B556" s="54" t="s">
        <v>523</v>
      </c>
      <c r="C556" s="2">
        <f t="shared" si="137"/>
        <v>88717.43</v>
      </c>
      <c r="D556" s="3">
        <f t="shared" si="13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3">
        <v>0</v>
      </c>
      <c r="L556" s="32">
        <v>0</v>
      </c>
      <c r="M556" s="32">
        <v>0</v>
      </c>
      <c r="N556" s="3">
        <f>M556*5500</f>
        <v>0</v>
      </c>
      <c r="O556" s="32">
        <v>0</v>
      </c>
      <c r="P556" s="32">
        <v>0</v>
      </c>
      <c r="Q556" s="32">
        <v>0</v>
      </c>
      <c r="R556" s="3">
        <f t="shared" si="136"/>
        <v>0</v>
      </c>
      <c r="S556" s="32">
        <v>0</v>
      </c>
      <c r="T556" s="32">
        <v>0</v>
      </c>
      <c r="U556" s="32">
        <v>88717.43</v>
      </c>
      <c r="V556" s="6" t="e">
        <f t="shared" si="139"/>
        <v>#DIV/0!</v>
      </c>
    </row>
    <row r="557" spans="1:22" ht="24" customHeight="1" x14ac:dyDescent="0.3">
      <c r="A557" s="46" t="s">
        <v>1448</v>
      </c>
      <c r="B557" s="49" t="s">
        <v>608</v>
      </c>
      <c r="C557" s="2">
        <f t="shared" si="137"/>
        <v>3089034.2</v>
      </c>
      <c r="D557" s="3">
        <f t="shared" si="13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3">
        <v>0</v>
      </c>
      <c r="L557" s="32">
        <v>0</v>
      </c>
      <c r="M557" s="32">
        <v>562.04</v>
      </c>
      <c r="N557" s="3">
        <v>3089034.2</v>
      </c>
      <c r="O557" s="32">
        <v>0</v>
      </c>
      <c r="P557" s="32">
        <v>0</v>
      </c>
      <c r="Q557" s="32">
        <v>0</v>
      </c>
      <c r="R557" s="3">
        <f t="shared" si="136"/>
        <v>0</v>
      </c>
      <c r="S557" s="32">
        <v>0</v>
      </c>
      <c r="T557" s="32">
        <v>0</v>
      </c>
      <c r="U557" s="32">
        <v>0</v>
      </c>
      <c r="V557" s="6">
        <f t="shared" si="139"/>
        <v>5496.1109529570858</v>
      </c>
    </row>
    <row r="558" spans="1:22" ht="24" customHeight="1" x14ac:dyDescent="0.3">
      <c r="A558" s="46" t="s">
        <v>1449</v>
      </c>
      <c r="B558" s="49" t="s">
        <v>524</v>
      </c>
      <c r="C558" s="2">
        <f t="shared" si="137"/>
        <v>190659.06</v>
      </c>
      <c r="D558" s="3">
        <f t="shared" si="13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3">
        <v>0</v>
      </c>
      <c r="L558" s="32">
        <v>0</v>
      </c>
      <c r="M558" s="32">
        <v>0</v>
      </c>
      <c r="N558" s="3">
        <v>0</v>
      </c>
      <c r="O558" s="32">
        <v>0</v>
      </c>
      <c r="P558" s="32">
        <v>0</v>
      </c>
      <c r="Q558" s="32">
        <v>0</v>
      </c>
      <c r="R558" s="3">
        <f t="shared" si="136"/>
        <v>0</v>
      </c>
      <c r="S558" s="32">
        <v>0</v>
      </c>
      <c r="T558" s="32">
        <v>0</v>
      </c>
      <c r="U558" s="32">
        <v>190659.06</v>
      </c>
      <c r="V558" s="6" t="e">
        <f t="shared" si="139"/>
        <v>#DIV/0!</v>
      </c>
    </row>
    <row r="559" spans="1:22" ht="24" customHeight="1" x14ac:dyDescent="0.3">
      <c r="A559" s="46" t="s">
        <v>1450</v>
      </c>
      <c r="B559" s="49" t="s">
        <v>607</v>
      </c>
      <c r="C559" s="2">
        <f t="shared" si="137"/>
        <v>3096500</v>
      </c>
      <c r="D559" s="3">
        <f t="shared" si="13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3">
        <v>0</v>
      </c>
      <c r="L559" s="32">
        <v>0</v>
      </c>
      <c r="M559" s="32">
        <v>563</v>
      </c>
      <c r="N559" s="3">
        <v>3096500</v>
      </c>
      <c r="O559" s="32">
        <v>0</v>
      </c>
      <c r="P559" s="32">
        <v>0</v>
      </c>
      <c r="Q559" s="32">
        <v>0</v>
      </c>
      <c r="R559" s="3">
        <f t="shared" si="136"/>
        <v>0</v>
      </c>
      <c r="S559" s="32">
        <v>0</v>
      </c>
      <c r="T559" s="32">
        <v>0</v>
      </c>
      <c r="U559" s="32">
        <v>0</v>
      </c>
      <c r="V559" s="6">
        <f t="shared" si="139"/>
        <v>5500</v>
      </c>
    </row>
    <row r="560" spans="1:22" ht="24" customHeight="1" x14ac:dyDescent="0.3">
      <c r="A560" s="46" t="s">
        <v>1451</v>
      </c>
      <c r="B560" s="49" t="s">
        <v>609</v>
      </c>
      <c r="C560" s="2">
        <f t="shared" si="137"/>
        <v>6013006</v>
      </c>
      <c r="D560" s="3">
        <f t="shared" si="13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33">
        <v>0</v>
      </c>
      <c r="L560" s="32">
        <v>0</v>
      </c>
      <c r="M560" s="32">
        <v>533.70000000000005</v>
      </c>
      <c r="N560" s="3">
        <v>2615250</v>
      </c>
      <c r="O560" s="32">
        <v>0</v>
      </c>
      <c r="P560" s="32">
        <v>0</v>
      </c>
      <c r="Q560" s="32">
        <v>1030.74</v>
      </c>
      <c r="R560" s="3">
        <v>2236273</v>
      </c>
      <c r="S560" s="32">
        <v>0</v>
      </c>
      <c r="T560" s="32">
        <v>0</v>
      </c>
      <c r="U560" s="32">
        <v>202024</v>
      </c>
      <c r="V560" s="6">
        <f t="shared" si="139"/>
        <v>4900.2248454187738</v>
      </c>
    </row>
    <row r="561" spans="1:22" ht="24" customHeight="1" x14ac:dyDescent="0.3">
      <c r="A561" s="46" t="s">
        <v>1452</v>
      </c>
      <c r="B561" s="49" t="s">
        <v>525</v>
      </c>
      <c r="C561" s="2">
        <f t="shared" si="137"/>
        <v>1383804.9</v>
      </c>
      <c r="D561" s="3">
        <f t="shared" si="13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3">
        <v>0</v>
      </c>
      <c r="L561" s="32">
        <v>0</v>
      </c>
      <c r="M561" s="32">
        <v>259</v>
      </c>
      <c r="N561" s="3">
        <v>1383804.9</v>
      </c>
      <c r="O561" s="32">
        <v>0</v>
      </c>
      <c r="P561" s="32">
        <v>0</v>
      </c>
      <c r="Q561" s="32">
        <v>0</v>
      </c>
      <c r="R561" s="3">
        <f t="shared" ref="R561:R568" si="140">Q561*3000</f>
        <v>0</v>
      </c>
      <c r="S561" s="32">
        <v>0</v>
      </c>
      <c r="T561" s="32">
        <v>0</v>
      </c>
      <c r="U561" s="32">
        <v>0</v>
      </c>
      <c r="V561" s="6">
        <f t="shared" si="139"/>
        <v>5342.8760617760618</v>
      </c>
    </row>
    <row r="562" spans="1:22" ht="24" customHeight="1" x14ac:dyDescent="0.3">
      <c r="A562" s="46" t="s">
        <v>1453</v>
      </c>
      <c r="B562" s="49" t="s">
        <v>526</v>
      </c>
      <c r="C562" s="2">
        <f t="shared" si="137"/>
        <v>1437315</v>
      </c>
      <c r="D562" s="3">
        <f t="shared" si="13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3">
        <v>0</v>
      </c>
      <c r="L562" s="32">
        <v>0</v>
      </c>
      <c r="M562" s="32">
        <v>261.33</v>
      </c>
      <c r="N562" s="3">
        <v>1437315</v>
      </c>
      <c r="O562" s="32">
        <v>0</v>
      </c>
      <c r="P562" s="32">
        <v>0</v>
      </c>
      <c r="Q562" s="32">
        <v>0</v>
      </c>
      <c r="R562" s="3">
        <f t="shared" si="140"/>
        <v>0</v>
      </c>
      <c r="S562" s="32">
        <v>0</v>
      </c>
      <c r="T562" s="32">
        <v>0</v>
      </c>
      <c r="U562" s="32">
        <v>0</v>
      </c>
      <c r="V562" s="6">
        <f t="shared" si="139"/>
        <v>5500</v>
      </c>
    </row>
    <row r="563" spans="1:22" ht="24" customHeight="1" x14ac:dyDescent="0.3">
      <c r="A563" s="46" t="s">
        <v>1454</v>
      </c>
      <c r="B563" s="49" t="s">
        <v>610</v>
      </c>
      <c r="C563" s="2">
        <f t="shared" si="137"/>
        <v>1442870</v>
      </c>
      <c r="D563" s="3">
        <f t="shared" si="13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3">
        <v>0</v>
      </c>
      <c r="L563" s="32">
        <v>0</v>
      </c>
      <c r="M563" s="32">
        <v>262.33999999999997</v>
      </c>
      <c r="N563" s="3">
        <v>1442870</v>
      </c>
      <c r="O563" s="32">
        <v>0</v>
      </c>
      <c r="P563" s="32">
        <v>0</v>
      </c>
      <c r="Q563" s="32">
        <v>0</v>
      </c>
      <c r="R563" s="3">
        <f t="shared" si="140"/>
        <v>0</v>
      </c>
      <c r="S563" s="32">
        <v>0</v>
      </c>
      <c r="T563" s="32">
        <v>0</v>
      </c>
      <c r="U563" s="32">
        <v>0</v>
      </c>
      <c r="V563" s="6">
        <f t="shared" si="139"/>
        <v>5500.0000000000009</v>
      </c>
    </row>
    <row r="564" spans="1:22" ht="24" customHeight="1" x14ac:dyDescent="0.3">
      <c r="A564" s="46" t="s">
        <v>1455</v>
      </c>
      <c r="B564" s="49" t="s">
        <v>611</v>
      </c>
      <c r="C564" s="2">
        <f t="shared" si="137"/>
        <v>1410750</v>
      </c>
      <c r="D564" s="3">
        <f t="shared" si="13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3">
        <v>0</v>
      </c>
      <c r="L564" s="32">
        <v>0</v>
      </c>
      <c r="M564" s="32">
        <v>256.5</v>
      </c>
      <c r="N564" s="3">
        <v>1410750</v>
      </c>
      <c r="O564" s="32">
        <v>0</v>
      </c>
      <c r="P564" s="32">
        <v>0</v>
      </c>
      <c r="Q564" s="32">
        <v>0</v>
      </c>
      <c r="R564" s="3">
        <f t="shared" si="140"/>
        <v>0</v>
      </c>
      <c r="S564" s="32">
        <v>0</v>
      </c>
      <c r="T564" s="32">
        <v>0</v>
      </c>
      <c r="U564" s="32">
        <v>0</v>
      </c>
      <c r="V564" s="6">
        <f t="shared" si="139"/>
        <v>5500</v>
      </c>
    </row>
    <row r="565" spans="1:22" ht="24" customHeight="1" x14ac:dyDescent="0.3">
      <c r="A565" s="46" t="s">
        <v>1456</v>
      </c>
      <c r="B565" s="49" t="s">
        <v>612</v>
      </c>
      <c r="C565" s="2">
        <f t="shared" si="137"/>
        <v>95281.24</v>
      </c>
      <c r="D565" s="3">
        <f t="shared" si="138"/>
        <v>0</v>
      </c>
      <c r="E565" s="32">
        <v>0</v>
      </c>
      <c r="F565" s="32">
        <v>0</v>
      </c>
      <c r="G565" s="32">
        <v>0</v>
      </c>
      <c r="H565" s="32">
        <v>0</v>
      </c>
      <c r="I565" s="32">
        <v>0</v>
      </c>
      <c r="J565" s="32">
        <f>350*0</f>
        <v>0</v>
      </c>
      <c r="K565" s="33">
        <v>0</v>
      </c>
      <c r="L565" s="32">
        <v>0</v>
      </c>
      <c r="M565" s="32">
        <v>0</v>
      </c>
      <c r="N565" s="32">
        <v>0</v>
      </c>
      <c r="O565" s="32">
        <v>0</v>
      </c>
      <c r="P565" s="32">
        <v>0</v>
      </c>
      <c r="Q565" s="32">
        <v>0</v>
      </c>
      <c r="R565" s="3">
        <f t="shared" si="140"/>
        <v>0</v>
      </c>
      <c r="S565" s="32">
        <v>0</v>
      </c>
      <c r="T565" s="32">
        <v>0</v>
      </c>
      <c r="U565" s="32">
        <v>95281.24</v>
      </c>
      <c r="V565" s="6" t="e">
        <f t="shared" si="139"/>
        <v>#DIV/0!</v>
      </c>
    </row>
    <row r="566" spans="1:22" ht="25.2" customHeight="1" x14ac:dyDescent="0.3">
      <c r="A566" s="46" t="s">
        <v>1457</v>
      </c>
      <c r="B566" s="49" t="s">
        <v>613</v>
      </c>
      <c r="C566" s="2">
        <f t="shared" si="137"/>
        <v>1464870</v>
      </c>
      <c r="D566" s="3">
        <f t="shared" si="13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3">
        <v>0</v>
      </c>
      <c r="L566" s="32">
        <v>0</v>
      </c>
      <c r="M566" s="32">
        <v>266.33999999999997</v>
      </c>
      <c r="N566" s="3">
        <v>1464870</v>
      </c>
      <c r="O566" s="32">
        <v>0</v>
      </c>
      <c r="P566" s="32">
        <v>0</v>
      </c>
      <c r="Q566" s="32">
        <v>0</v>
      </c>
      <c r="R566" s="3">
        <f t="shared" si="140"/>
        <v>0</v>
      </c>
      <c r="S566" s="32">
        <v>0</v>
      </c>
      <c r="T566" s="32">
        <v>0</v>
      </c>
      <c r="U566" s="32">
        <v>0</v>
      </c>
      <c r="V566" s="6">
        <f t="shared" si="139"/>
        <v>5500.0000000000009</v>
      </c>
    </row>
    <row r="567" spans="1:22" ht="25.2" customHeight="1" x14ac:dyDescent="0.3">
      <c r="A567" s="46" t="s">
        <v>1458</v>
      </c>
      <c r="B567" s="49" t="s">
        <v>614</v>
      </c>
      <c r="C567" s="2">
        <f t="shared" si="137"/>
        <v>1423125</v>
      </c>
      <c r="D567" s="3">
        <f t="shared" si="13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3">
        <v>0</v>
      </c>
      <c r="L567" s="32">
        <v>0</v>
      </c>
      <c r="M567" s="32">
        <v>258.75</v>
      </c>
      <c r="N567" s="3">
        <v>1423125</v>
      </c>
      <c r="O567" s="32">
        <v>0</v>
      </c>
      <c r="P567" s="32">
        <v>0</v>
      </c>
      <c r="Q567" s="32">
        <v>0</v>
      </c>
      <c r="R567" s="3">
        <f t="shared" si="140"/>
        <v>0</v>
      </c>
      <c r="S567" s="32">
        <v>0</v>
      </c>
      <c r="T567" s="32">
        <v>0</v>
      </c>
      <c r="U567" s="32">
        <v>0</v>
      </c>
      <c r="V567" s="6">
        <f t="shared" si="139"/>
        <v>5500</v>
      </c>
    </row>
    <row r="568" spans="1:22" ht="25.2" customHeight="1" x14ac:dyDescent="0.3">
      <c r="A568" s="46" t="s">
        <v>1459</v>
      </c>
      <c r="B568" s="49" t="s">
        <v>615</v>
      </c>
      <c r="C568" s="2">
        <f t="shared" si="137"/>
        <v>1350249.21</v>
      </c>
      <c r="D568" s="3">
        <f t="shared" si="13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3">
        <v>0</v>
      </c>
      <c r="L568" s="32">
        <v>0</v>
      </c>
      <c r="M568" s="32">
        <v>245.5</v>
      </c>
      <c r="N568" s="3">
        <v>1350249.21</v>
      </c>
      <c r="O568" s="32">
        <v>0</v>
      </c>
      <c r="P568" s="32">
        <v>0</v>
      </c>
      <c r="Q568" s="32">
        <v>0</v>
      </c>
      <c r="R568" s="3">
        <f t="shared" si="140"/>
        <v>0</v>
      </c>
      <c r="S568" s="32">
        <v>0</v>
      </c>
      <c r="T568" s="32">
        <v>0</v>
      </c>
      <c r="U568" s="32">
        <v>0</v>
      </c>
      <c r="V568" s="6">
        <f t="shared" si="139"/>
        <v>5499.9967820773927</v>
      </c>
    </row>
    <row r="569" spans="1:22" ht="24" customHeight="1" x14ac:dyDescent="0.3">
      <c r="A569" s="46" t="s">
        <v>1460</v>
      </c>
      <c r="B569" s="55" t="s">
        <v>853</v>
      </c>
      <c r="C569" s="2">
        <f t="shared" si="137"/>
        <v>377276.64</v>
      </c>
      <c r="D569" s="3">
        <f t="shared" si="138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6" t="e">
        <f t="shared" si="139"/>
        <v>#DIV/0!</v>
      </c>
    </row>
    <row r="570" spans="1:22" ht="24" customHeight="1" x14ac:dyDescent="0.3">
      <c r="A570" s="46" t="s">
        <v>1461</v>
      </c>
      <c r="B570" s="49" t="s">
        <v>617</v>
      </c>
      <c r="C570" s="2">
        <f t="shared" si="137"/>
        <v>1581247.96</v>
      </c>
      <c r="D570" s="3">
        <f t="shared" si="13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3">
        <v>0</v>
      </c>
      <c r="L570" s="32">
        <v>0</v>
      </c>
      <c r="M570" s="32">
        <v>287.5</v>
      </c>
      <c r="N570" s="3">
        <v>1581247.96</v>
      </c>
      <c r="O570" s="32">
        <v>0</v>
      </c>
      <c r="P570" s="32">
        <v>0</v>
      </c>
      <c r="Q570" s="32">
        <v>0</v>
      </c>
      <c r="R570" s="3">
        <f>Q570*3000</f>
        <v>0</v>
      </c>
      <c r="S570" s="32">
        <v>0</v>
      </c>
      <c r="T570" s="32">
        <v>0</v>
      </c>
      <c r="U570" s="32">
        <v>0</v>
      </c>
      <c r="V570" s="6">
        <f t="shared" si="139"/>
        <v>5499.992904347826</v>
      </c>
    </row>
    <row r="571" spans="1:22" ht="24" customHeight="1" x14ac:dyDescent="0.3">
      <c r="A571" s="46" t="s">
        <v>1462</v>
      </c>
      <c r="B571" s="49" t="s">
        <v>527</v>
      </c>
      <c r="C571" s="2">
        <f t="shared" si="137"/>
        <v>1595644.99</v>
      </c>
      <c r="D571" s="3">
        <f t="shared" si="13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3">
        <v>0</v>
      </c>
      <c r="L571" s="32">
        <v>0</v>
      </c>
      <c r="M571" s="32">
        <v>290.2</v>
      </c>
      <c r="N571" s="3">
        <v>1595644.99</v>
      </c>
      <c r="O571" s="32">
        <v>0</v>
      </c>
      <c r="P571" s="32">
        <v>0</v>
      </c>
      <c r="Q571" s="32">
        <v>0</v>
      </c>
      <c r="R571" s="3">
        <f>Q571*3000</f>
        <v>0</v>
      </c>
      <c r="S571" s="32">
        <v>0</v>
      </c>
      <c r="T571" s="32">
        <v>0</v>
      </c>
      <c r="U571" s="32">
        <v>0</v>
      </c>
      <c r="V571" s="6">
        <f t="shared" si="139"/>
        <v>5498.4320813232252</v>
      </c>
    </row>
    <row r="572" spans="1:22" ht="24" customHeight="1" x14ac:dyDescent="0.3">
      <c r="A572" s="46" t="s">
        <v>1463</v>
      </c>
      <c r="B572" s="49" t="s">
        <v>618</v>
      </c>
      <c r="C572" s="2">
        <f t="shared" si="137"/>
        <v>1447600</v>
      </c>
      <c r="D572" s="3">
        <f t="shared" si="13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3">
        <v>0</v>
      </c>
      <c r="L572" s="32">
        <v>0</v>
      </c>
      <c r="M572" s="32">
        <v>263.2</v>
      </c>
      <c r="N572" s="3">
        <v>1447600</v>
      </c>
      <c r="O572" s="32">
        <v>0</v>
      </c>
      <c r="P572" s="32">
        <v>0</v>
      </c>
      <c r="Q572" s="32">
        <v>0</v>
      </c>
      <c r="R572" s="3">
        <f>Q572*3000</f>
        <v>0</v>
      </c>
      <c r="S572" s="32">
        <v>0</v>
      </c>
      <c r="T572" s="32">
        <v>0</v>
      </c>
      <c r="U572" s="32">
        <v>0</v>
      </c>
      <c r="V572" s="6">
        <f t="shared" si="139"/>
        <v>5500</v>
      </c>
    </row>
    <row r="573" spans="1:22" ht="24" customHeight="1" x14ac:dyDescent="0.3">
      <c r="A573" s="46" t="s">
        <v>1464</v>
      </c>
      <c r="B573" s="49" t="s">
        <v>619</v>
      </c>
      <c r="C573" s="2">
        <f t="shared" si="137"/>
        <v>1325296</v>
      </c>
      <c r="D573" s="3">
        <f t="shared" si="13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3">
        <v>0</v>
      </c>
      <c r="L573" s="32">
        <v>0</v>
      </c>
      <c r="M573" s="32">
        <v>241</v>
      </c>
      <c r="N573" s="3">
        <v>1325296</v>
      </c>
      <c r="O573" s="32">
        <v>0</v>
      </c>
      <c r="P573" s="32">
        <v>0</v>
      </c>
      <c r="Q573" s="32">
        <v>0</v>
      </c>
      <c r="R573" s="3">
        <f>Q573*3000</f>
        <v>0</v>
      </c>
      <c r="S573" s="32">
        <v>0</v>
      </c>
      <c r="T573" s="32">
        <v>0</v>
      </c>
      <c r="U573" s="32">
        <v>0</v>
      </c>
      <c r="V573" s="6">
        <f t="shared" si="139"/>
        <v>5499.1535269709548</v>
      </c>
    </row>
    <row r="574" spans="1:22" ht="24" customHeight="1" x14ac:dyDescent="0.3">
      <c r="A574" s="46" t="s">
        <v>1465</v>
      </c>
      <c r="B574" s="49" t="s">
        <v>433</v>
      </c>
      <c r="C574" s="2">
        <f t="shared" si="137"/>
        <v>3207817.2</v>
      </c>
      <c r="D574" s="3">
        <f t="shared" si="13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6">
        <f t="shared" si="139"/>
        <v>4305.7948993288592</v>
      </c>
    </row>
    <row r="575" spans="1:22" ht="24" customHeight="1" x14ac:dyDescent="0.3">
      <c r="A575" s="46" t="s">
        <v>1466</v>
      </c>
      <c r="B575" s="55" t="s">
        <v>1201</v>
      </c>
      <c r="C575" s="2">
        <f t="shared" si="137"/>
        <v>334449.2</v>
      </c>
      <c r="D575" s="3">
        <f t="shared" si="138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6" t="e">
        <f t="shared" si="139"/>
        <v>#DIV/0!</v>
      </c>
    </row>
    <row r="576" spans="1:22" ht="24" customHeight="1" x14ac:dyDescent="0.3">
      <c r="A576" s="46" t="s">
        <v>1467</v>
      </c>
      <c r="B576" s="49" t="s">
        <v>622</v>
      </c>
      <c r="C576" s="2">
        <f t="shared" si="137"/>
        <v>3896200</v>
      </c>
      <c r="D576" s="3">
        <f t="shared" si="13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3">
        <v>0</v>
      </c>
      <c r="L576" s="32">
        <v>0</v>
      </c>
      <c r="M576" s="32">
        <v>708.4</v>
      </c>
      <c r="N576" s="3">
        <f>M576*5500</f>
        <v>3896200</v>
      </c>
      <c r="O576" s="32">
        <v>0</v>
      </c>
      <c r="P576" s="32">
        <v>0</v>
      </c>
      <c r="Q576" s="32">
        <v>0</v>
      </c>
      <c r="R576" s="3">
        <f t="shared" ref="R576:R584" si="141">Q576*3000</f>
        <v>0</v>
      </c>
      <c r="S576" s="32">
        <v>0</v>
      </c>
      <c r="T576" s="32">
        <v>0</v>
      </c>
      <c r="U576" s="32">
        <v>0</v>
      </c>
      <c r="V576" s="6">
        <f t="shared" si="139"/>
        <v>5500</v>
      </c>
    </row>
    <row r="577" spans="1:22" ht="24" customHeight="1" x14ac:dyDescent="0.3">
      <c r="A577" s="46" t="s">
        <v>1468</v>
      </c>
      <c r="B577" s="49" t="s">
        <v>620</v>
      </c>
      <c r="C577" s="2">
        <f t="shared" si="137"/>
        <v>1702800</v>
      </c>
      <c r="D577" s="3">
        <f t="shared" si="13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3">
        <v>0</v>
      </c>
      <c r="L577" s="32">
        <v>0</v>
      </c>
      <c r="M577" s="32">
        <v>309.60000000000002</v>
      </c>
      <c r="N577" s="3">
        <v>1702800</v>
      </c>
      <c r="O577" s="32">
        <v>0</v>
      </c>
      <c r="P577" s="32">
        <v>0</v>
      </c>
      <c r="Q577" s="32">
        <v>0</v>
      </c>
      <c r="R577" s="3">
        <f t="shared" si="141"/>
        <v>0</v>
      </c>
      <c r="S577" s="32">
        <v>0</v>
      </c>
      <c r="T577" s="32">
        <v>0</v>
      </c>
      <c r="U577" s="32">
        <v>0</v>
      </c>
      <c r="V577" s="6">
        <f t="shared" si="139"/>
        <v>5500</v>
      </c>
    </row>
    <row r="578" spans="1:22" ht="24" customHeight="1" x14ac:dyDescent="0.3">
      <c r="A578" s="46" t="s">
        <v>1469</v>
      </c>
      <c r="B578" s="49" t="s">
        <v>621</v>
      </c>
      <c r="C578" s="2">
        <f t="shared" si="137"/>
        <v>2810500</v>
      </c>
      <c r="D578" s="3">
        <f t="shared" si="13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3">
        <v>0</v>
      </c>
      <c r="L578" s="32">
        <v>0</v>
      </c>
      <c r="M578" s="32">
        <v>511</v>
      </c>
      <c r="N578" s="3">
        <v>2810500</v>
      </c>
      <c r="O578" s="32">
        <v>0</v>
      </c>
      <c r="P578" s="32">
        <v>0</v>
      </c>
      <c r="Q578" s="32">
        <v>0</v>
      </c>
      <c r="R578" s="3">
        <f t="shared" si="141"/>
        <v>0</v>
      </c>
      <c r="S578" s="32">
        <v>0</v>
      </c>
      <c r="T578" s="32">
        <v>0</v>
      </c>
      <c r="U578" s="32">
        <v>0</v>
      </c>
      <c r="V578" s="6">
        <f t="shared" si="139"/>
        <v>5500</v>
      </c>
    </row>
    <row r="579" spans="1:22" ht="24" customHeight="1" x14ac:dyDescent="0.3">
      <c r="A579" s="46" t="s">
        <v>1470</v>
      </c>
      <c r="B579" s="49" t="s">
        <v>528</v>
      </c>
      <c r="C579" s="2">
        <f t="shared" si="137"/>
        <v>2205500</v>
      </c>
      <c r="D579" s="3">
        <f t="shared" si="13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3">
        <v>0</v>
      </c>
      <c r="L579" s="32">
        <v>0</v>
      </c>
      <c r="M579" s="32">
        <v>401</v>
      </c>
      <c r="N579" s="3">
        <v>2205500</v>
      </c>
      <c r="O579" s="32">
        <v>0</v>
      </c>
      <c r="P579" s="32">
        <v>0</v>
      </c>
      <c r="Q579" s="32">
        <v>0</v>
      </c>
      <c r="R579" s="3">
        <f t="shared" si="141"/>
        <v>0</v>
      </c>
      <c r="S579" s="32">
        <v>0</v>
      </c>
      <c r="T579" s="32">
        <v>0</v>
      </c>
      <c r="U579" s="32">
        <v>0</v>
      </c>
      <c r="V579" s="6">
        <f t="shared" si="139"/>
        <v>5500</v>
      </c>
    </row>
    <row r="580" spans="1:22" ht="24" customHeight="1" x14ac:dyDescent="0.3">
      <c r="A580" s="46" t="s">
        <v>1471</v>
      </c>
      <c r="B580" s="49" t="s">
        <v>623</v>
      </c>
      <c r="C580" s="2">
        <f t="shared" si="137"/>
        <v>2817356.6</v>
      </c>
      <c r="D580" s="3">
        <f t="shared" si="13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3">
        <v>0</v>
      </c>
      <c r="L580" s="32">
        <v>0</v>
      </c>
      <c r="M580" s="32">
        <v>539.74</v>
      </c>
      <c r="N580" s="3">
        <v>2817356.6</v>
      </c>
      <c r="O580" s="32">
        <v>0</v>
      </c>
      <c r="P580" s="32">
        <v>0</v>
      </c>
      <c r="Q580" s="32">
        <v>0</v>
      </c>
      <c r="R580" s="3">
        <f t="shared" si="141"/>
        <v>0</v>
      </c>
      <c r="S580" s="32">
        <v>0</v>
      </c>
      <c r="T580" s="32">
        <v>0</v>
      </c>
      <c r="U580" s="32">
        <v>0</v>
      </c>
      <c r="V580" s="6">
        <f t="shared" si="139"/>
        <v>5219.8402934746364</v>
      </c>
    </row>
    <row r="581" spans="1:22" ht="24" customHeight="1" x14ac:dyDescent="0.3">
      <c r="A581" s="46" t="s">
        <v>1472</v>
      </c>
      <c r="B581" s="49" t="s">
        <v>624</v>
      </c>
      <c r="C581" s="2">
        <f t="shared" si="137"/>
        <v>132711.07999999999</v>
      </c>
      <c r="D581" s="3">
        <f t="shared" si="13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3">
        <v>0</v>
      </c>
      <c r="L581" s="32">
        <v>0</v>
      </c>
      <c r="M581" s="32">
        <v>0</v>
      </c>
      <c r="N581" s="3">
        <f>M581*5500</f>
        <v>0</v>
      </c>
      <c r="O581" s="32">
        <v>0</v>
      </c>
      <c r="P581" s="32">
        <v>0</v>
      </c>
      <c r="Q581" s="32">
        <v>0</v>
      </c>
      <c r="R581" s="3">
        <f t="shared" si="141"/>
        <v>0</v>
      </c>
      <c r="S581" s="32">
        <v>0</v>
      </c>
      <c r="T581" s="32">
        <v>0</v>
      </c>
      <c r="U581" s="32">
        <v>132711.07999999999</v>
      </c>
      <c r="V581" s="6" t="e">
        <f t="shared" si="139"/>
        <v>#DIV/0!</v>
      </c>
    </row>
    <row r="582" spans="1:22" ht="24" customHeight="1" x14ac:dyDescent="0.3">
      <c r="A582" s="46" t="s">
        <v>1473</v>
      </c>
      <c r="B582" s="49" t="s">
        <v>529</v>
      </c>
      <c r="C582" s="2">
        <f t="shared" si="137"/>
        <v>3288010.0000000005</v>
      </c>
      <c r="D582" s="3">
        <f t="shared" si="13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3">
        <v>0</v>
      </c>
      <c r="L582" s="32">
        <v>0</v>
      </c>
      <c r="M582" s="32">
        <v>597.82000000000005</v>
      </c>
      <c r="N582" s="3">
        <f>M582*5500</f>
        <v>3288010.0000000005</v>
      </c>
      <c r="O582" s="32">
        <v>0</v>
      </c>
      <c r="P582" s="32">
        <v>0</v>
      </c>
      <c r="Q582" s="32">
        <v>0</v>
      </c>
      <c r="R582" s="3">
        <f t="shared" si="141"/>
        <v>0</v>
      </c>
      <c r="S582" s="32">
        <v>0</v>
      </c>
      <c r="T582" s="32">
        <v>0</v>
      </c>
      <c r="U582" s="32">
        <v>0</v>
      </c>
      <c r="V582" s="6">
        <f t="shared" si="139"/>
        <v>5500</v>
      </c>
    </row>
    <row r="583" spans="1:22" ht="24" customHeight="1" x14ac:dyDescent="0.3">
      <c r="A583" s="46" t="s">
        <v>1474</v>
      </c>
      <c r="B583" s="54" t="s">
        <v>530</v>
      </c>
      <c r="C583" s="2">
        <f t="shared" si="137"/>
        <v>3995087.78</v>
      </c>
      <c r="D583" s="3">
        <f t="shared" si="13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3">
        <v>0</v>
      </c>
      <c r="L583" s="32">
        <v>0</v>
      </c>
      <c r="M583" s="32">
        <v>783.4</v>
      </c>
      <c r="N583" s="3">
        <v>3995087.78</v>
      </c>
      <c r="O583" s="32">
        <v>0</v>
      </c>
      <c r="P583" s="32">
        <v>0</v>
      </c>
      <c r="Q583" s="32">
        <v>0</v>
      </c>
      <c r="R583" s="3">
        <f t="shared" si="141"/>
        <v>0</v>
      </c>
      <c r="S583" s="32">
        <v>0</v>
      </c>
      <c r="T583" s="32">
        <v>0</v>
      </c>
      <c r="U583" s="32">
        <v>0</v>
      </c>
      <c r="V583" s="6">
        <f t="shared" si="139"/>
        <v>5099.6780444217511</v>
      </c>
    </row>
    <row r="584" spans="1:22" ht="24" customHeight="1" x14ac:dyDescent="0.3">
      <c r="A584" s="46" t="s">
        <v>1475</v>
      </c>
      <c r="B584" s="54" t="s">
        <v>531</v>
      </c>
      <c r="C584" s="2">
        <f t="shared" si="137"/>
        <v>4172139.48</v>
      </c>
      <c r="D584" s="3">
        <f t="shared" si="13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3">
        <v>0</v>
      </c>
      <c r="L584" s="32">
        <v>0</v>
      </c>
      <c r="M584" s="32">
        <v>758.87</v>
      </c>
      <c r="N584" s="3">
        <v>4172139.48</v>
      </c>
      <c r="O584" s="32">
        <v>0</v>
      </c>
      <c r="P584" s="32">
        <v>0</v>
      </c>
      <c r="Q584" s="32">
        <v>0</v>
      </c>
      <c r="R584" s="3">
        <f t="shared" si="141"/>
        <v>0</v>
      </c>
      <c r="S584" s="32">
        <v>0</v>
      </c>
      <c r="T584" s="32">
        <v>0</v>
      </c>
      <c r="U584" s="32">
        <v>0</v>
      </c>
      <c r="V584" s="6">
        <f t="shared" si="139"/>
        <v>5497.8316180637003</v>
      </c>
    </row>
    <row r="585" spans="1:22" ht="24" customHeight="1" x14ac:dyDescent="0.3">
      <c r="A585" s="46" t="s">
        <v>1476</v>
      </c>
      <c r="B585" s="55" t="s">
        <v>862</v>
      </c>
      <c r="C585" s="2">
        <f t="shared" si="137"/>
        <v>826594.88</v>
      </c>
      <c r="D585" s="3">
        <f t="shared" si="138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6" t="e">
        <f t="shared" si="139"/>
        <v>#DIV/0!</v>
      </c>
    </row>
    <row r="586" spans="1:22" ht="24" customHeight="1" x14ac:dyDescent="0.3">
      <c r="A586" s="46" t="s">
        <v>1477</v>
      </c>
      <c r="B586" s="49" t="s">
        <v>365</v>
      </c>
      <c r="C586" s="2">
        <f t="shared" si="137"/>
        <v>1004444.74</v>
      </c>
      <c r="D586" s="3">
        <f t="shared" si="13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6" t="e">
        <f t="shared" si="139"/>
        <v>#DIV/0!</v>
      </c>
    </row>
    <row r="587" spans="1:22" ht="24" customHeight="1" x14ac:dyDescent="0.3">
      <c r="A587" s="46" t="s">
        <v>1478</v>
      </c>
      <c r="B587" s="55" t="s">
        <v>1202</v>
      </c>
      <c r="C587" s="2">
        <f t="shared" si="137"/>
        <v>699625.2</v>
      </c>
      <c r="D587" s="3">
        <f t="shared" si="13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6" t="e">
        <f t="shared" si="139"/>
        <v>#DIV/0!</v>
      </c>
    </row>
    <row r="588" spans="1:22" ht="24" customHeight="1" x14ac:dyDescent="0.3">
      <c r="A588" s="46" t="s">
        <v>1479</v>
      </c>
      <c r="B588" s="49" t="s">
        <v>383</v>
      </c>
      <c r="C588" s="2">
        <f t="shared" si="137"/>
        <v>651201.6</v>
      </c>
      <c r="D588" s="3">
        <f t="shared" si="138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6" t="e">
        <f t="shared" si="139"/>
        <v>#DIV/0!</v>
      </c>
    </row>
    <row r="589" spans="1:22" ht="24" customHeight="1" x14ac:dyDescent="0.3">
      <c r="A589" s="46" t="s">
        <v>1480</v>
      </c>
      <c r="B589" s="49" t="s">
        <v>532</v>
      </c>
      <c r="C589" s="2">
        <f t="shared" si="137"/>
        <v>8278334.7200000007</v>
      </c>
      <c r="D589" s="3">
        <f t="shared" si="13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3">
        <v>0</v>
      </c>
      <c r="L589" s="32">
        <v>0</v>
      </c>
      <c r="M589" s="32">
        <v>0</v>
      </c>
      <c r="N589" s="32">
        <v>0</v>
      </c>
      <c r="O589" s="32">
        <v>0</v>
      </c>
      <c r="P589" s="32">
        <v>0</v>
      </c>
      <c r="Q589" s="32">
        <v>2940</v>
      </c>
      <c r="R589" s="3">
        <v>7975676.4000000004</v>
      </c>
      <c r="S589" s="32">
        <v>0</v>
      </c>
      <c r="T589" s="32">
        <v>0</v>
      </c>
      <c r="U589" s="32">
        <v>302658.32</v>
      </c>
      <c r="V589" s="6" t="e">
        <f t="shared" si="139"/>
        <v>#DIV/0!</v>
      </c>
    </row>
    <row r="590" spans="1:22" ht="24" customHeight="1" x14ac:dyDescent="0.3">
      <c r="A590" s="46" t="s">
        <v>1481</v>
      </c>
      <c r="B590" s="49" t="s">
        <v>436</v>
      </c>
      <c r="C590" s="2">
        <f t="shared" si="137"/>
        <v>750416.4</v>
      </c>
      <c r="D590" s="3">
        <f t="shared" si="138"/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6" t="e">
        <f t="shared" si="139"/>
        <v>#DIV/0!</v>
      </c>
    </row>
    <row r="591" spans="1:22" ht="24" customHeight="1" x14ac:dyDescent="0.3">
      <c r="A591" s="46" t="s">
        <v>1482</v>
      </c>
      <c r="B591" s="49" t="s">
        <v>359</v>
      </c>
      <c r="C591" s="2">
        <f t="shared" si="137"/>
        <v>424722.41</v>
      </c>
      <c r="D591" s="3">
        <f t="shared" si="13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6" t="e">
        <f t="shared" si="139"/>
        <v>#DIV/0!</v>
      </c>
    </row>
    <row r="592" spans="1:22" ht="24" customHeight="1" x14ac:dyDescent="0.3">
      <c r="A592" s="46" t="s">
        <v>1483</v>
      </c>
      <c r="B592" s="54" t="s">
        <v>625</v>
      </c>
      <c r="C592" s="2">
        <f t="shared" si="137"/>
        <v>4639697.1399999997</v>
      </c>
      <c r="D592" s="3">
        <f t="shared" si="13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3">
        <v>0</v>
      </c>
      <c r="L592" s="32">
        <v>0</v>
      </c>
      <c r="M592" s="32">
        <v>972</v>
      </c>
      <c r="N592" s="3">
        <v>4639697.1399999997</v>
      </c>
      <c r="O592" s="32">
        <v>0</v>
      </c>
      <c r="P592" s="32">
        <v>0</v>
      </c>
      <c r="Q592" s="32">
        <v>0</v>
      </c>
      <c r="R592" s="3">
        <f t="shared" ref="R592:R600" si="142">Q592*3000</f>
        <v>0</v>
      </c>
      <c r="S592" s="32">
        <v>0</v>
      </c>
      <c r="T592" s="32">
        <v>0</v>
      </c>
      <c r="U592" s="32">
        <v>0</v>
      </c>
      <c r="V592" s="6">
        <f t="shared" si="139"/>
        <v>4773.3509670781887</v>
      </c>
    </row>
    <row r="593" spans="1:22" ht="24" customHeight="1" x14ac:dyDescent="0.3">
      <c r="A593" s="46" t="s">
        <v>1484</v>
      </c>
      <c r="B593" s="49" t="s">
        <v>448</v>
      </c>
      <c r="C593" s="2">
        <f t="shared" si="137"/>
        <v>1897256</v>
      </c>
      <c r="D593" s="3">
        <f t="shared" si="13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2"/>
        <v>0</v>
      </c>
      <c r="S593" s="3">
        <v>0</v>
      </c>
      <c r="T593" s="32">
        <v>0</v>
      </c>
      <c r="U593" s="3">
        <v>0</v>
      </c>
      <c r="V593" s="6">
        <f t="shared" si="139"/>
        <v>4966.6387434554972</v>
      </c>
    </row>
    <row r="594" spans="1:22" ht="24" customHeight="1" x14ac:dyDescent="0.3">
      <c r="A594" s="46" t="s">
        <v>1485</v>
      </c>
      <c r="B594" s="49" t="s">
        <v>627</v>
      </c>
      <c r="C594" s="2">
        <f t="shared" si="137"/>
        <v>158458.43</v>
      </c>
      <c r="D594" s="3">
        <f t="shared" si="13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3">
        <v>0</v>
      </c>
      <c r="L594" s="32">
        <v>0</v>
      </c>
      <c r="M594" s="32">
        <v>0</v>
      </c>
      <c r="N594" s="32">
        <v>0</v>
      </c>
      <c r="O594" s="32">
        <v>0</v>
      </c>
      <c r="P594" s="32">
        <v>0</v>
      </c>
      <c r="Q594" s="32">
        <v>0</v>
      </c>
      <c r="R594" s="3">
        <f t="shared" si="142"/>
        <v>0</v>
      </c>
      <c r="S594" s="32">
        <v>0</v>
      </c>
      <c r="T594" s="32">
        <v>0</v>
      </c>
      <c r="U594" s="32">
        <v>158458.43</v>
      </c>
      <c r="V594" s="6" t="e">
        <f t="shared" si="139"/>
        <v>#DIV/0!</v>
      </c>
    </row>
    <row r="595" spans="1:22" ht="24" customHeight="1" x14ac:dyDescent="0.3">
      <c r="A595" s="46" t="s">
        <v>1486</v>
      </c>
      <c r="B595" s="49" t="s">
        <v>533</v>
      </c>
      <c r="C595" s="2">
        <f t="shared" si="137"/>
        <v>212386.04</v>
      </c>
      <c r="D595" s="3">
        <f t="shared" si="13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3">
        <v>0</v>
      </c>
      <c r="L595" s="32">
        <v>0</v>
      </c>
      <c r="M595" s="32">
        <v>0</v>
      </c>
      <c r="N595" s="32">
        <v>0</v>
      </c>
      <c r="O595" s="32">
        <v>0</v>
      </c>
      <c r="P595" s="32">
        <v>0</v>
      </c>
      <c r="Q595" s="32">
        <v>0</v>
      </c>
      <c r="R595" s="3">
        <f t="shared" si="142"/>
        <v>0</v>
      </c>
      <c r="S595" s="32">
        <v>0</v>
      </c>
      <c r="T595" s="32">
        <v>0</v>
      </c>
      <c r="U595" s="32">
        <v>212386.04</v>
      </c>
      <c r="V595" s="6" t="e">
        <f t="shared" si="139"/>
        <v>#DIV/0!</v>
      </c>
    </row>
    <row r="596" spans="1:22" ht="24" customHeight="1" x14ac:dyDescent="0.3">
      <c r="A596" s="46" t="s">
        <v>1487</v>
      </c>
      <c r="B596" s="49" t="s">
        <v>628</v>
      </c>
      <c r="C596" s="2">
        <f t="shared" si="137"/>
        <v>160243.18</v>
      </c>
      <c r="D596" s="3">
        <f t="shared" si="13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3">
        <v>0</v>
      </c>
      <c r="L596" s="32">
        <v>0</v>
      </c>
      <c r="M596" s="32">
        <v>0</v>
      </c>
      <c r="N596" s="32">
        <v>0</v>
      </c>
      <c r="O596" s="32">
        <v>0</v>
      </c>
      <c r="P596" s="32">
        <v>0</v>
      </c>
      <c r="Q596" s="32">
        <v>0</v>
      </c>
      <c r="R596" s="3">
        <f t="shared" si="142"/>
        <v>0</v>
      </c>
      <c r="S596" s="32">
        <v>0</v>
      </c>
      <c r="T596" s="32">
        <v>0</v>
      </c>
      <c r="U596" s="32">
        <v>160243.18</v>
      </c>
      <c r="V596" s="6" t="e">
        <f t="shared" si="139"/>
        <v>#DIV/0!</v>
      </c>
    </row>
    <row r="597" spans="1:22" ht="24" customHeight="1" x14ac:dyDescent="0.3">
      <c r="A597" s="46" t="s">
        <v>1488</v>
      </c>
      <c r="B597" s="49" t="s">
        <v>629</v>
      </c>
      <c r="C597" s="2">
        <f t="shared" si="137"/>
        <v>1083335.45</v>
      </c>
      <c r="D597" s="3">
        <f t="shared" si="13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33">
        <v>0</v>
      </c>
      <c r="L597" s="32">
        <v>0</v>
      </c>
      <c r="M597" s="32">
        <v>0</v>
      </c>
      <c r="N597" s="32">
        <v>0</v>
      </c>
      <c r="O597" s="32">
        <v>0</v>
      </c>
      <c r="P597" s="32">
        <v>0</v>
      </c>
      <c r="Q597" s="32">
        <v>0</v>
      </c>
      <c r="R597" s="3">
        <f t="shared" si="142"/>
        <v>0</v>
      </c>
      <c r="S597" s="32">
        <v>0</v>
      </c>
      <c r="T597" s="32">
        <v>0</v>
      </c>
      <c r="U597" s="32">
        <v>159774.65</v>
      </c>
      <c r="V597" s="6" t="e">
        <f t="shared" si="139"/>
        <v>#DIV/0!</v>
      </c>
    </row>
    <row r="598" spans="1:22" ht="24" customHeight="1" x14ac:dyDescent="0.3">
      <c r="A598" s="46" t="s">
        <v>1489</v>
      </c>
      <c r="B598" s="49" t="s">
        <v>534</v>
      </c>
      <c r="C598" s="2">
        <f t="shared" si="137"/>
        <v>87269.8</v>
      </c>
      <c r="D598" s="3">
        <f t="shared" si="13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3">
        <v>0</v>
      </c>
      <c r="L598" s="32">
        <v>0</v>
      </c>
      <c r="M598" s="32">
        <v>0</v>
      </c>
      <c r="N598" s="3">
        <f>M598*5500</f>
        <v>0</v>
      </c>
      <c r="O598" s="32">
        <v>0</v>
      </c>
      <c r="P598" s="32">
        <v>0</v>
      </c>
      <c r="Q598" s="32">
        <v>0</v>
      </c>
      <c r="R598" s="3">
        <f t="shared" si="142"/>
        <v>0</v>
      </c>
      <c r="S598" s="32">
        <v>0</v>
      </c>
      <c r="T598" s="32">
        <v>0</v>
      </c>
      <c r="U598" s="32">
        <v>87269.8</v>
      </c>
      <c r="V598" s="6" t="e">
        <f t="shared" si="139"/>
        <v>#DIV/0!</v>
      </c>
    </row>
    <row r="599" spans="1:22" ht="24" customHeight="1" x14ac:dyDescent="0.3">
      <c r="A599" s="46" t="s">
        <v>1490</v>
      </c>
      <c r="B599" s="49" t="s">
        <v>630</v>
      </c>
      <c r="C599" s="2">
        <f t="shared" si="137"/>
        <v>1394305.44</v>
      </c>
      <c r="D599" s="3">
        <f t="shared" si="13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3">
        <v>0</v>
      </c>
      <c r="L599" s="32">
        <v>0</v>
      </c>
      <c r="M599" s="32">
        <v>255.11</v>
      </c>
      <c r="N599" s="3">
        <v>1394305.44</v>
      </c>
      <c r="O599" s="32">
        <v>0</v>
      </c>
      <c r="P599" s="32">
        <v>0</v>
      </c>
      <c r="Q599" s="32">
        <v>0</v>
      </c>
      <c r="R599" s="3">
        <f t="shared" si="142"/>
        <v>0</v>
      </c>
      <c r="S599" s="32">
        <v>0</v>
      </c>
      <c r="T599" s="32">
        <v>0</v>
      </c>
      <c r="U599" s="32">
        <v>0</v>
      </c>
      <c r="V599" s="6">
        <f t="shared" si="139"/>
        <v>5465.5068009878087</v>
      </c>
    </row>
    <row r="600" spans="1:22" ht="24" customHeight="1" x14ac:dyDescent="0.3">
      <c r="A600" s="46" t="s">
        <v>1491</v>
      </c>
      <c r="B600" s="49" t="s">
        <v>535</v>
      </c>
      <c r="C600" s="2">
        <f t="shared" si="137"/>
        <v>1768084.63</v>
      </c>
      <c r="D600" s="3">
        <f t="shared" si="13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3">
        <v>0</v>
      </c>
      <c r="L600" s="32">
        <v>0</v>
      </c>
      <c r="M600" s="32">
        <v>321.47000000000003</v>
      </c>
      <c r="N600" s="3">
        <v>1768084.63</v>
      </c>
      <c r="O600" s="32">
        <v>0</v>
      </c>
      <c r="P600" s="32">
        <v>0</v>
      </c>
      <c r="Q600" s="32">
        <v>0</v>
      </c>
      <c r="R600" s="3">
        <f t="shared" si="142"/>
        <v>0</v>
      </c>
      <c r="S600" s="32">
        <v>0</v>
      </c>
      <c r="T600" s="32">
        <v>0</v>
      </c>
      <c r="U600" s="32">
        <v>0</v>
      </c>
      <c r="V600" s="6">
        <f t="shared" si="139"/>
        <v>5499.9988490372343</v>
      </c>
    </row>
    <row r="601" spans="1:22" ht="24" customHeight="1" x14ac:dyDescent="0.3">
      <c r="A601" s="46" t="s">
        <v>1492</v>
      </c>
      <c r="B601" s="49" t="s">
        <v>438</v>
      </c>
      <c r="C601" s="2">
        <f t="shared" si="137"/>
        <v>3897065.38</v>
      </c>
      <c r="D601" s="3">
        <f t="shared" si="13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6">
        <f t="shared" si="139"/>
        <v>4566.8378137670798</v>
      </c>
    </row>
    <row r="602" spans="1:22" ht="24" customHeight="1" x14ac:dyDescent="0.3">
      <c r="A602" s="46" t="s">
        <v>1493</v>
      </c>
      <c r="B602" s="49" t="s">
        <v>632</v>
      </c>
      <c r="C602" s="2">
        <f t="shared" si="137"/>
        <v>2279200</v>
      </c>
      <c r="D602" s="3">
        <f t="shared" si="13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3">
        <v>0</v>
      </c>
      <c r="L602" s="32">
        <v>0</v>
      </c>
      <c r="M602" s="32">
        <v>414.4</v>
      </c>
      <c r="N602" s="3">
        <v>2279200</v>
      </c>
      <c r="O602" s="32">
        <v>0</v>
      </c>
      <c r="P602" s="32">
        <v>0</v>
      </c>
      <c r="Q602" s="32">
        <v>0</v>
      </c>
      <c r="R602" s="3">
        <f>Q602*3000</f>
        <v>0</v>
      </c>
      <c r="S602" s="32">
        <v>0</v>
      </c>
      <c r="T602" s="32">
        <v>0</v>
      </c>
      <c r="U602" s="32">
        <v>0</v>
      </c>
      <c r="V602" s="6">
        <f t="shared" si="139"/>
        <v>5500</v>
      </c>
    </row>
    <row r="603" spans="1:22" ht="24" customHeight="1" x14ac:dyDescent="0.3">
      <c r="A603" s="46" t="s">
        <v>1494</v>
      </c>
      <c r="B603" s="55" t="s">
        <v>882</v>
      </c>
      <c r="C603" s="2">
        <f t="shared" si="137"/>
        <v>2310657</v>
      </c>
      <c r="D603" s="3">
        <f t="shared" si="138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6">
        <f t="shared" si="139"/>
        <v>5009.0114892694555</v>
      </c>
    </row>
    <row r="604" spans="1:22" ht="24" customHeight="1" x14ac:dyDescent="0.3">
      <c r="A604" s="46" t="s">
        <v>1495</v>
      </c>
      <c r="B604" s="49" t="s">
        <v>409</v>
      </c>
      <c r="C604" s="2">
        <f t="shared" si="137"/>
        <v>5722137.5499999998</v>
      </c>
      <c r="D604" s="3">
        <f t="shared" si="138"/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6" t="e">
        <f t="shared" si="139"/>
        <v>#DIV/0!</v>
      </c>
    </row>
    <row r="605" spans="1:22" ht="24" customHeight="1" x14ac:dyDescent="0.3">
      <c r="A605" s="46" t="s">
        <v>1496</v>
      </c>
      <c r="B605" s="49" t="s">
        <v>636</v>
      </c>
      <c r="C605" s="2">
        <f t="shared" si="137"/>
        <v>1341562.31</v>
      </c>
      <c r="D605" s="3">
        <f t="shared" si="138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3">
        <v>0</v>
      </c>
      <c r="L605" s="32">
        <v>0</v>
      </c>
      <c r="M605" s="32">
        <v>254.8</v>
      </c>
      <c r="N605" s="3">
        <v>1341562.31</v>
      </c>
      <c r="O605" s="32">
        <v>0</v>
      </c>
      <c r="P605" s="32">
        <v>0</v>
      </c>
      <c r="Q605" s="32">
        <v>0</v>
      </c>
      <c r="R605" s="3">
        <f t="shared" ref="R605:R626" si="143">Q605*3000</f>
        <v>0</v>
      </c>
      <c r="S605" s="32">
        <v>0</v>
      </c>
      <c r="T605" s="32">
        <v>0</v>
      </c>
      <c r="U605" s="32">
        <v>0</v>
      </c>
      <c r="V605" s="6">
        <f t="shared" si="139"/>
        <v>5265.1582025117741</v>
      </c>
    </row>
    <row r="606" spans="1:22" ht="24" customHeight="1" x14ac:dyDescent="0.3">
      <c r="A606" s="46" t="s">
        <v>1497</v>
      </c>
      <c r="B606" s="49" t="s">
        <v>633</v>
      </c>
      <c r="C606" s="2">
        <f t="shared" si="137"/>
        <v>84898.94</v>
      </c>
      <c r="D606" s="3">
        <f t="shared" si="13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3">
        <v>0</v>
      </c>
      <c r="L606" s="32">
        <v>0</v>
      </c>
      <c r="M606" s="32">
        <v>0</v>
      </c>
      <c r="N606" s="3">
        <v>0</v>
      </c>
      <c r="O606" s="32">
        <v>0</v>
      </c>
      <c r="P606" s="32">
        <v>0</v>
      </c>
      <c r="Q606" s="32">
        <v>0</v>
      </c>
      <c r="R606" s="3">
        <f t="shared" si="143"/>
        <v>0</v>
      </c>
      <c r="S606" s="32">
        <v>0</v>
      </c>
      <c r="T606" s="32">
        <v>0</v>
      </c>
      <c r="U606" s="32">
        <v>84898.94</v>
      </c>
      <c r="V606" s="6" t="e">
        <f t="shared" si="139"/>
        <v>#DIV/0!</v>
      </c>
    </row>
    <row r="607" spans="1:22" ht="24" customHeight="1" x14ac:dyDescent="0.3">
      <c r="A607" s="46" t="s">
        <v>1498</v>
      </c>
      <c r="B607" s="49" t="s">
        <v>634</v>
      </c>
      <c r="C607" s="2">
        <f t="shared" si="137"/>
        <v>1392424</v>
      </c>
      <c r="D607" s="3">
        <f t="shared" si="13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33">
        <v>0</v>
      </c>
      <c r="L607" s="32">
        <v>0</v>
      </c>
      <c r="M607" s="32">
        <v>258.5</v>
      </c>
      <c r="N607" s="3">
        <v>1392424</v>
      </c>
      <c r="O607" s="32">
        <v>0</v>
      </c>
      <c r="P607" s="32">
        <v>0</v>
      </c>
      <c r="Q607" s="32">
        <v>0</v>
      </c>
      <c r="R607" s="3">
        <f t="shared" si="143"/>
        <v>0</v>
      </c>
      <c r="S607" s="32">
        <v>0</v>
      </c>
      <c r="T607" s="32">
        <v>0</v>
      </c>
      <c r="U607" s="32">
        <v>0</v>
      </c>
      <c r="V607" s="6">
        <f t="shared" si="139"/>
        <v>5386.5531914893618</v>
      </c>
    </row>
    <row r="608" spans="1:22" ht="24" customHeight="1" x14ac:dyDescent="0.3">
      <c r="A608" s="46" t="s">
        <v>1499</v>
      </c>
      <c r="B608" s="49" t="s">
        <v>635</v>
      </c>
      <c r="C608" s="2">
        <f t="shared" si="137"/>
        <v>1377172.24</v>
      </c>
      <c r="D608" s="3">
        <f t="shared" si="13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3">
        <v>0</v>
      </c>
      <c r="L608" s="32">
        <v>0</v>
      </c>
      <c r="M608" s="32">
        <v>258</v>
      </c>
      <c r="N608" s="3">
        <v>1377172.24</v>
      </c>
      <c r="O608" s="32">
        <v>0</v>
      </c>
      <c r="P608" s="32">
        <v>0</v>
      </c>
      <c r="Q608" s="32">
        <v>0</v>
      </c>
      <c r="R608" s="3">
        <f t="shared" si="143"/>
        <v>0</v>
      </c>
      <c r="S608" s="32">
        <v>0</v>
      </c>
      <c r="T608" s="32">
        <v>0</v>
      </c>
      <c r="U608" s="32">
        <v>0</v>
      </c>
      <c r="V608" s="6">
        <f t="shared" si="139"/>
        <v>5337.876899224806</v>
      </c>
    </row>
    <row r="609" spans="1:22" ht="24" customHeight="1" x14ac:dyDescent="0.3">
      <c r="A609" s="46" t="s">
        <v>1500</v>
      </c>
      <c r="B609" s="49" t="s">
        <v>544</v>
      </c>
      <c r="C609" s="2">
        <f t="shared" si="137"/>
        <v>2038405</v>
      </c>
      <c r="D609" s="3">
        <f t="shared" si="138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3">
        <v>0</v>
      </c>
      <c r="L609" s="32">
        <v>0</v>
      </c>
      <c r="M609" s="32">
        <v>374.56</v>
      </c>
      <c r="N609" s="3">
        <v>2038405</v>
      </c>
      <c r="O609" s="32">
        <v>0</v>
      </c>
      <c r="P609" s="32">
        <v>0</v>
      </c>
      <c r="Q609" s="32">
        <v>0</v>
      </c>
      <c r="R609" s="3">
        <f t="shared" si="143"/>
        <v>0</v>
      </c>
      <c r="S609" s="32">
        <v>0</v>
      </c>
      <c r="T609" s="32">
        <v>0</v>
      </c>
      <c r="U609" s="32">
        <v>0</v>
      </c>
      <c r="V609" s="6">
        <f t="shared" si="139"/>
        <v>5442.1321016659549</v>
      </c>
    </row>
    <row r="610" spans="1:22" ht="24" customHeight="1" x14ac:dyDescent="0.3">
      <c r="A610" s="46" t="s">
        <v>1501</v>
      </c>
      <c r="B610" s="49" t="s">
        <v>545</v>
      </c>
      <c r="C610" s="2">
        <f t="shared" si="137"/>
        <v>2076196</v>
      </c>
      <c r="D610" s="3">
        <f t="shared" si="13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3">
        <v>0</v>
      </c>
      <c r="L610" s="32">
        <v>0</v>
      </c>
      <c r="M610" s="32">
        <v>377.63</v>
      </c>
      <c r="N610" s="3">
        <v>2076196</v>
      </c>
      <c r="O610" s="32">
        <v>0</v>
      </c>
      <c r="P610" s="32">
        <v>0</v>
      </c>
      <c r="Q610" s="32">
        <v>0</v>
      </c>
      <c r="R610" s="3">
        <f t="shared" si="143"/>
        <v>0</v>
      </c>
      <c r="S610" s="32">
        <v>0</v>
      </c>
      <c r="T610" s="32">
        <v>0</v>
      </c>
      <c r="U610" s="32">
        <v>0</v>
      </c>
      <c r="V610" s="6">
        <f t="shared" si="139"/>
        <v>5497.9636151788791</v>
      </c>
    </row>
    <row r="611" spans="1:22" ht="24" customHeight="1" x14ac:dyDescent="0.3">
      <c r="A611" s="46" t="s">
        <v>1502</v>
      </c>
      <c r="B611" s="49" t="s">
        <v>537</v>
      </c>
      <c r="C611" s="2">
        <f t="shared" si="137"/>
        <v>2326115</v>
      </c>
      <c r="D611" s="3">
        <f t="shared" si="13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3">
        <v>0</v>
      </c>
      <c r="L611" s="32">
        <v>0</v>
      </c>
      <c r="M611" s="32">
        <v>434.8</v>
      </c>
      <c r="N611" s="3">
        <v>2326115</v>
      </c>
      <c r="O611" s="32">
        <v>0</v>
      </c>
      <c r="P611" s="32">
        <v>0</v>
      </c>
      <c r="Q611" s="32">
        <v>0</v>
      </c>
      <c r="R611" s="3">
        <f t="shared" si="143"/>
        <v>0</v>
      </c>
      <c r="S611" s="32">
        <v>0</v>
      </c>
      <c r="T611" s="32">
        <v>0</v>
      </c>
      <c r="U611" s="32">
        <v>0</v>
      </c>
      <c r="V611" s="6">
        <f t="shared" si="139"/>
        <v>5349.8505059797608</v>
      </c>
    </row>
    <row r="612" spans="1:22" ht="24" customHeight="1" x14ac:dyDescent="0.3">
      <c r="A612" s="46" t="s">
        <v>1503</v>
      </c>
      <c r="B612" s="49" t="s">
        <v>637</v>
      </c>
      <c r="C612" s="2">
        <f t="shared" si="137"/>
        <v>84299.839999999997</v>
      </c>
      <c r="D612" s="3">
        <f t="shared" si="13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3">
        <v>0</v>
      </c>
      <c r="L612" s="32">
        <v>0</v>
      </c>
      <c r="M612" s="32">
        <v>0</v>
      </c>
      <c r="N612" s="3">
        <f>M612*5500</f>
        <v>0</v>
      </c>
      <c r="O612" s="32">
        <v>0</v>
      </c>
      <c r="P612" s="32">
        <v>0</v>
      </c>
      <c r="Q612" s="32">
        <v>0</v>
      </c>
      <c r="R612" s="3">
        <f t="shared" si="143"/>
        <v>0</v>
      </c>
      <c r="S612" s="32">
        <v>0</v>
      </c>
      <c r="T612" s="32">
        <v>0</v>
      </c>
      <c r="U612" s="32">
        <v>84299.839999999997</v>
      </c>
      <c r="V612" s="6" t="e">
        <f t="shared" si="139"/>
        <v>#DIV/0!</v>
      </c>
    </row>
    <row r="613" spans="1:22" ht="24" customHeight="1" x14ac:dyDescent="0.3">
      <c r="A613" s="46" t="s">
        <v>1504</v>
      </c>
      <c r="B613" s="49" t="s">
        <v>638</v>
      </c>
      <c r="C613" s="2">
        <f t="shared" si="137"/>
        <v>82469.55</v>
      </c>
      <c r="D613" s="3">
        <f t="shared" si="13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3">
        <v>0</v>
      </c>
      <c r="L613" s="32">
        <v>0</v>
      </c>
      <c r="M613" s="32">
        <v>0</v>
      </c>
      <c r="N613" s="3">
        <f>M613*5500</f>
        <v>0</v>
      </c>
      <c r="O613" s="32">
        <v>0</v>
      </c>
      <c r="P613" s="32">
        <v>0</v>
      </c>
      <c r="Q613" s="32">
        <v>0</v>
      </c>
      <c r="R613" s="3">
        <f t="shared" si="143"/>
        <v>0</v>
      </c>
      <c r="S613" s="32">
        <v>0</v>
      </c>
      <c r="T613" s="32">
        <v>0</v>
      </c>
      <c r="U613" s="32">
        <v>82469.55</v>
      </c>
      <c r="V613" s="6" t="e">
        <f t="shared" si="139"/>
        <v>#DIV/0!</v>
      </c>
    </row>
    <row r="614" spans="1:22" ht="24" customHeight="1" x14ac:dyDescent="0.3">
      <c r="A614" s="46" t="s">
        <v>1505</v>
      </c>
      <c r="B614" s="49" t="s">
        <v>639</v>
      </c>
      <c r="C614" s="2">
        <f t="shared" si="137"/>
        <v>83697.460000000006</v>
      </c>
      <c r="D614" s="3">
        <f t="shared" si="13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3">
        <v>0</v>
      </c>
      <c r="L614" s="32">
        <v>0</v>
      </c>
      <c r="M614" s="32">
        <v>0</v>
      </c>
      <c r="N614" s="3">
        <f>M614*5500</f>
        <v>0</v>
      </c>
      <c r="O614" s="32">
        <v>0</v>
      </c>
      <c r="P614" s="32">
        <v>0</v>
      </c>
      <c r="Q614" s="32">
        <v>0</v>
      </c>
      <c r="R614" s="3">
        <f t="shared" si="143"/>
        <v>0</v>
      </c>
      <c r="S614" s="32">
        <v>0</v>
      </c>
      <c r="T614" s="32">
        <v>0</v>
      </c>
      <c r="U614" s="32">
        <v>83697.460000000006</v>
      </c>
      <c r="V614" s="6" t="e">
        <f t="shared" si="139"/>
        <v>#DIV/0!</v>
      </c>
    </row>
    <row r="615" spans="1:22" ht="24" customHeight="1" x14ac:dyDescent="0.3">
      <c r="A615" s="46" t="s">
        <v>1506</v>
      </c>
      <c r="B615" s="49" t="s">
        <v>640</v>
      </c>
      <c r="C615" s="2">
        <f t="shared" si="137"/>
        <v>1805462.52</v>
      </c>
      <c r="D615" s="3">
        <f t="shared" si="13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3">
        <v>0</v>
      </c>
      <c r="L615" s="32">
        <v>0</v>
      </c>
      <c r="M615" s="32">
        <v>399</v>
      </c>
      <c r="N615" s="3">
        <v>1805462.52</v>
      </c>
      <c r="O615" s="32">
        <v>0</v>
      </c>
      <c r="P615" s="32">
        <v>0</v>
      </c>
      <c r="Q615" s="32">
        <v>0</v>
      </c>
      <c r="R615" s="3">
        <f t="shared" si="143"/>
        <v>0</v>
      </c>
      <c r="S615" s="32">
        <v>0</v>
      </c>
      <c r="T615" s="32">
        <v>0</v>
      </c>
      <c r="U615" s="32">
        <v>0</v>
      </c>
      <c r="V615" s="6">
        <f t="shared" si="139"/>
        <v>4524.968721804511</v>
      </c>
    </row>
    <row r="616" spans="1:22" ht="24" customHeight="1" x14ac:dyDescent="0.3">
      <c r="A616" s="46" t="s">
        <v>1507</v>
      </c>
      <c r="B616" s="49" t="s">
        <v>538</v>
      </c>
      <c r="C616" s="2">
        <f t="shared" si="137"/>
        <v>1149196.3999999999</v>
      </c>
      <c r="D616" s="3">
        <f t="shared" si="13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3">
        <v>0</v>
      </c>
      <c r="L616" s="32">
        <v>0</v>
      </c>
      <c r="M616" s="32">
        <v>245.22</v>
      </c>
      <c r="N616" s="3">
        <v>1149196.3999999999</v>
      </c>
      <c r="O616" s="32">
        <v>0</v>
      </c>
      <c r="P616" s="32">
        <v>0</v>
      </c>
      <c r="Q616" s="32">
        <v>0</v>
      </c>
      <c r="R616" s="3">
        <f t="shared" si="143"/>
        <v>0</v>
      </c>
      <c r="S616" s="32">
        <v>0</v>
      </c>
      <c r="T616" s="32">
        <v>0</v>
      </c>
      <c r="U616" s="32">
        <v>0</v>
      </c>
      <c r="V616" s="6">
        <f t="shared" si="139"/>
        <v>4686.3893646521483</v>
      </c>
    </row>
    <row r="617" spans="1:22" ht="24" customHeight="1" x14ac:dyDescent="0.3">
      <c r="A617" s="46" t="s">
        <v>1508</v>
      </c>
      <c r="B617" s="49" t="s">
        <v>539</v>
      </c>
      <c r="C617" s="2">
        <f t="shared" si="137"/>
        <v>1221124.1200000001</v>
      </c>
      <c r="D617" s="3">
        <f t="shared" si="13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3">
        <v>0</v>
      </c>
      <c r="L617" s="32">
        <v>0</v>
      </c>
      <c r="M617" s="32">
        <v>243</v>
      </c>
      <c r="N617" s="3">
        <v>1221124.1200000001</v>
      </c>
      <c r="O617" s="32">
        <v>0</v>
      </c>
      <c r="P617" s="32">
        <v>0</v>
      </c>
      <c r="Q617" s="32">
        <v>0</v>
      </c>
      <c r="R617" s="3">
        <f t="shared" si="143"/>
        <v>0</v>
      </c>
      <c r="S617" s="32">
        <v>0</v>
      </c>
      <c r="T617" s="32">
        <v>0</v>
      </c>
      <c r="U617" s="32">
        <v>0</v>
      </c>
      <c r="V617" s="6">
        <f t="shared" si="139"/>
        <v>5025.2021399176956</v>
      </c>
    </row>
    <row r="618" spans="1:22" ht="24" customHeight="1" x14ac:dyDescent="0.3">
      <c r="A618" s="46" t="s">
        <v>1509</v>
      </c>
      <c r="B618" s="49" t="s">
        <v>540</v>
      </c>
      <c r="C618" s="2">
        <f t="shared" ref="C618:C626" si="144">D618+L618+N618+P618+R618+S618+T618+U618</f>
        <v>1247989</v>
      </c>
      <c r="D618" s="3">
        <f t="shared" ref="D618:D626" si="145">SUM(E618:J618)</f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3">
        <v>0</v>
      </c>
      <c r="L618" s="32">
        <v>0</v>
      </c>
      <c r="M618" s="32">
        <v>226.92</v>
      </c>
      <c r="N618" s="3">
        <v>1247989</v>
      </c>
      <c r="O618" s="32">
        <v>0</v>
      </c>
      <c r="P618" s="32">
        <v>0</v>
      </c>
      <c r="Q618" s="32">
        <v>0</v>
      </c>
      <c r="R618" s="3">
        <f t="shared" si="143"/>
        <v>0</v>
      </c>
      <c r="S618" s="32">
        <v>0</v>
      </c>
      <c r="T618" s="32">
        <v>0</v>
      </c>
      <c r="U618" s="32">
        <v>0</v>
      </c>
      <c r="V618" s="6">
        <f t="shared" ref="V618:V626" si="146">N618/M618</f>
        <v>5499.6871144015513</v>
      </c>
    </row>
    <row r="619" spans="1:22" ht="24" customHeight="1" x14ac:dyDescent="0.3">
      <c r="A619" s="46" t="s">
        <v>1510</v>
      </c>
      <c r="B619" s="49" t="s">
        <v>541</v>
      </c>
      <c r="C619" s="2">
        <f t="shared" si="144"/>
        <v>1332902.3999999999</v>
      </c>
      <c r="D619" s="3">
        <f t="shared" si="14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3">
        <v>0</v>
      </c>
      <c r="L619" s="32">
        <v>0</v>
      </c>
      <c r="M619" s="32">
        <v>242.88</v>
      </c>
      <c r="N619" s="3">
        <v>1332902.3999999999</v>
      </c>
      <c r="O619" s="32">
        <v>0</v>
      </c>
      <c r="P619" s="32">
        <v>0</v>
      </c>
      <c r="Q619" s="32">
        <v>0</v>
      </c>
      <c r="R619" s="3">
        <f t="shared" si="143"/>
        <v>0</v>
      </c>
      <c r="S619" s="32">
        <v>0</v>
      </c>
      <c r="T619" s="32">
        <v>0</v>
      </c>
      <c r="U619" s="32">
        <v>0</v>
      </c>
      <c r="V619" s="6">
        <f t="shared" si="146"/>
        <v>5487.905138339921</v>
      </c>
    </row>
    <row r="620" spans="1:22" ht="24" customHeight="1" x14ac:dyDescent="0.3">
      <c r="A620" s="46" t="s">
        <v>1511</v>
      </c>
      <c r="B620" s="49" t="s">
        <v>542</v>
      </c>
      <c r="C620" s="2">
        <f t="shared" si="144"/>
        <v>1366174.4</v>
      </c>
      <c r="D620" s="3">
        <f t="shared" si="14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3">
        <v>0</v>
      </c>
      <c r="L620" s="32">
        <v>0</v>
      </c>
      <c r="M620" s="32">
        <v>252.01</v>
      </c>
      <c r="N620" s="3">
        <v>1366174.4</v>
      </c>
      <c r="O620" s="32">
        <v>0</v>
      </c>
      <c r="P620" s="32">
        <v>0</v>
      </c>
      <c r="Q620" s="32">
        <v>0</v>
      </c>
      <c r="R620" s="3">
        <f t="shared" si="143"/>
        <v>0</v>
      </c>
      <c r="S620" s="32">
        <v>0</v>
      </c>
      <c r="T620" s="32">
        <v>0</v>
      </c>
      <c r="U620" s="32">
        <v>0</v>
      </c>
      <c r="V620" s="6">
        <f t="shared" si="146"/>
        <v>5421.1118606404507</v>
      </c>
    </row>
    <row r="621" spans="1:22" ht="24" customHeight="1" x14ac:dyDescent="0.3">
      <c r="A621" s="46" t="s">
        <v>1512</v>
      </c>
      <c r="B621" s="49" t="s">
        <v>543</v>
      </c>
      <c r="C621" s="2">
        <f t="shared" si="144"/>
        <v>1283749.17</v>
      </c>
      <c r="D621" s="3">
        <f t="shared" si="14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3">
        <v>0</v>
      </c>
      <c r="L621" s="32">
        <v>0</v>
      </c>
      <c r="M621" s="32">
        <v>254.27</v>
      </c>
      <c r="N621" s="3">
        <v>1283749.17</v>
      </c>
      <c r="O621" s="32">
        <v>0</v>
      </c>
      <c r="P621" s="32">
        <v>0</v>
      </c>
      <c r="Q621" s="32">
        <v>0</v>
      </c>
      <c r="R621" s="3">
        <f t="shared" si="143"/>
        <v>0</v>
      </c>
      <c r="S621" s="32">
        <v>0</v>
      </c>
      <c r="T621" s="32">
        <v>0</v>
      </c>
      <c r="U621" s="32">
        <v>0</v>
      </c>
      <c r="V621" s="6">
        <f t="shared" si="146"/>
        <v>5048.763794391788</v>
      </c>
    </row>
    <row r="622" spans="1:22" ht="24" customHeight="1" x14ac:dyDescent="0.3">
      <c r="A622" s="46" t="s">
        <v>1513</v>
      </c>
      <c r="B622" s="49" t="s">
        <v>546</v>
      </c>
      <c r="C622" s="2">
        <f t="shared" si="144"/>
        <v>1481150</v>
      </c>
      <c r="D622" s="3">
        <f t="shared" si="14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3">
        <v>0</v>
      </c>
      <c r="L622" s="32">
        <v>0</v>
      </c>
      <c r="M622" s="32">
        <v>269.3</v>
      </c>
      <c r="N622" s="3">
        <v>1481150</v>
      </c>
      <c r="O622" s="32">
        <v>0</v>
      </c>
      <c r="P622" s="32">
        <v>0</v>
      </c>
      <c r="Q622" s="32">
        <v>0</v>
      </c>
      <c r="R622" s="3">
        <f t="shared" si="143"/>
        <v>0</v>
      </c>
      <c r="S622" s="32">
        <v>0</v>
      </c>
      <c r="T622" s="32">
        <v>0</v>
      </c>
      <c r="U622" s="32">
        <v>0</v>
      </c>
      <c r="V622" s="6">
        <f t="shared" si="146"/>
        <v>5500</v>
      </c>
    </row>
    <row r="623" spans="1:22" ht="24" customHeight="1" x14ac:dyDescent="0.3">
      <c r="A623" s="46" t="s">
        <v>1514</v>
      </c>
      <c r="B623" s="49" t="s">
        <v>547</v>
      </c>
      <c r="C623" s="2">
        <f t="shared" si="144"/>
        <v>1481150</v>
      </c>
      <c r="D623" s="3">
        <f t="shared" si="14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3">
        <v>0</v>
      </c>
      <c r="L623" s="32">
        <v>0</v>
      </c>
      <c r="M623" s="32">
        <v>269.3</v>
      </c>
      <c r="N623" s="3">
        <v>1481150</v>
      </c>
      <c r="O623" s="32">
        <v>0</v>
      </c>
      <c r="P623" s="32">
        <v>0</v>
      </c>
      <c r="Q623" s="32">
        <v>0</v>
      </c>
      <c r="R623" s="3">
        <f t="shared" si="143"/>
        <v>0</v>
      </c>
      <c r="S623" s="32">
        <v>0</v>
      </c>
      <c r="T623" s="32">
        <v>0</v>
      </c>
      <c r="U623" s="32">
        <v>0</v>
      </c>
      <c r="V623" s="6">
        <f t="shared" si="146"/>
        <v>5500</v>
      </c>
    </row>
    <row r="624" spans="1:22" ht="25.2" customHeight="1" x14ac:dyDescent="0.3">
      <c r="A624" s="46" t="s">
        <v>1515</v>
      </c>
      <c r="B624" s="49" t="s">
        <v>548</v>
      </c>
      <c r="C624" s="2">
        <f t="shared" si="144"/>
        <v>108614.95</v>
      </c>
      <c r="D624" s="3">
        <f t="shared" si="14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3">
        <v>0</v>
      </c>
      <c r="L624" s="32">
        <v>0</v>
      </c>
      <c r="M624" s="32">
        <v>0</v>
      </c>
      <c r="N624" s="3">
        <f>M624*5500</f>
        <v>0</v>
      </c>
      <c r="O624" s="32">
        <v>0</v>
      </c>
      <c r="P624" s="32">
        <v>0</v>
      </c>
      <c r="Q624" s="32">
        <v>0</v>
      </c>
      <c r="R624" s="3">
        <f t="shared" si="143"/>
        <v>0</v>
      </c>
      <c r="S624" s="32">
        <v>0</v>
      </c>
      <c r="T624" s="32">
        <v>0</v>
      </c>
      <c r="U624" s="32">
        <v>108614.95</v>
      </c>
      <c r="V624" s="6" t="e">
        <f t="shared" si="146"/>
        <v>#DIV/0!</v>
      </c>
    </row>
    <row r="625" spans="1:22" ht="25.2" customHeight="1" x14ac:dyDescent="0.3">
      <c r="A625" s="46" t="s">
        <v>1516</v>
      </c>
      <c r="B625" s="49" t="s">
        <v>549</v>
      </c>
      <c r="C625" s="2">
        <f t="shared" si="144"/>
        <v>2207036.4</v>
      </c>
      <c r="D625" s="3">
        <f t="shared" si="14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3">
        <v>0</v>
      </c>
      <c r="L625" s="32">
        <v>0</v>
      </c>
      <c r="M625" s="32">
        <v>427.81</v>
      </c>
      <c r="N625" s="3">
        <v>2207036.4</v>
      </c>
      <c r="O625" s="32">
        <v>0</v>
      </c>
      <c r="P625" s="32">
        <v>0</v>
      </c>
      <c r="Q625" s="32">
        <v>0</v>
      </c>
      <c r="R625" s="3">
        <f t="shared" si="143"/>
        <v>0</v>
      </c>
      <c r="S625" s="32">
        <v>0</v>
      </c>
      <c r="T625" s="32">
        <v>0</v>
      </c>
      <c r="U625" s="32">
        <v>0</v>
      </c>
      <c r="V625" s="6">
        <f t="shared" si="146"/>
        <v>5158.9172763610013</v>
      </c>
    </row>
    <row r="626" spans="1:22" ht="25.2" customHeight="1" x14ac:dyDescent="0.3">
      <c r="A626" s="46" t="s">
        <v>1517</v>
      </c>
      <c r="B626" s="49" t="s">
        <v>550</v>
      </c>
      <c r="C626" s="2">
        <f t="shared" si="144"/>
        <v>2305975.2000000002</v>
      </c>
      <c r="D626" s="3">
        <f t="shared" si="14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3">
        <v>0</v>
      </c>
      <c r="L626" s="32">
        <v>0</v>
      </c>
      <c r="M626" s="32">
        <v>435.4</v>
      </c>
      <c r="N626" s="3">
        <v>2305975.2000000002</v>
      </c>
      <c r="O626" s="32">
        <v>0</v>
      </c>
      <c r="P626" s="32">
        <v>0</v>
      </c>
      <c r="Q626" s="32">
        <v>0</v>
      </c>
      <c r="R626" s="3">
        <f t="shared" si="143"/>
        <v>0</v>
      </c>
      <c r="S626" s="32">
        <v>0</v>
      </c>
      <c r="T626" s="32">
        <v>0</v>
      </c>
      <c r="U626" s="32">
        <v>0</v>
      </c>
      <c r="V626" s="6">
        <f t="shared" si="146"/>
        <v>5296.2223242994951</v>
      </c>
    </row>
    <row r="627" spans="1:22" ht="45" customHeight="1" x14ac:dyDescent="0.3">
      <c r="A627" s="45" t="s">
        <v>266</v>
      </c>
      <c r="B627" s="45"/>
      <c r="C627" s="2">
        <f t="shared" ref="C627:U627" si="147">SUM(C628:C629)</f>
        <v>7196671.2599999998</v>
      </c>
      <c r="D627" s="2">
        <f t="shared" si="147"/>
        <v>0</v>
      </c>
      <c r="E627" s="2">
        <f t="shared" si="147"/>
        <v>0</v>
      </c>
      <c r="F627" s="2">
        <f t="shared" si="147"/>
        <v>0</v>
      </c>
      <c r="G627" s="2">
        <f t="shared" si="147"/>
        <v>0</v>
      </c>
      <c r="H627" s="2">
        <f t="shared" si="147"/>
        <v>0</v>
      </c>
      <c r="I627" s="2">
        <f t="shared" si="147"/>
        <v>0</v>
      </c>
      <c r="J627" s="2">
        <f t="shared" si="147"/>
        <v>0</v>
      </c>
      <c r="K627" s="38">
        <f t="shared" si="147"/>
        <v>0</v>
      </c>
      <c r="L627" s="2">
        <f t="shared" si="147"/>
        <v>0</v>
      </c>
      <c r="M627" s="2">
        <f t="shared" si="147"/>
        <v>780.3599999999999</v>
      </c>
      <c r="N627" s="2">
        <f t="shared" si="147"/>
        <v>3994802.4</v>
      </c>
      <c r="O627" s="2">
        <f t="shared" si="147"/>
        <v>0</v>
      </c>
      <c r="P627" s="2">
        <f t="shared" si="147"/>
        <v>0</v>
      </c>
      <c r="Q627" s="2">
        <f t="shared" si="147"/>
        <v>1148.27</v>
      </c>
      <c r="R627" s="2">
        <f t="shared" si="147"/>
        <v>3146931.6</v>
      </c>
      <c r="S627" s="2">
        <f t="shared" si="147"/>
        <v>0</v>
      </c>
      <c r="T627" s="2">
        <f t="shared" si="147"/>
        <v>0</v>
      </c>
      <c r="U627" s="2">
        <f t="shared" si="147"/>
        <v>54937.259999999995</v>
      </c>
    </row>
    <row r="628" spans="1:22" ht="25.2" customHeight="1" x14ac:dyDescent="0.3">
      <c r="A628" s="46" t="s">
        <v>1518</v>
      </c>
      <c r="B628" s="49" t="s">
        <v>267</v>
      </c>
      <c r="C628" s="2">
        <f>D628+L628+N628+P628+R628+S628+T628+U628</f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32">
        <v>0</v>
      </c>
      <c r="P628" s="32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6">
        <f>N628/M628</f>
        <v>5021.4722928317233</v>
      </c>
    </row>
    <row r="629" spans="1:22" ht="25.2" customHeight="1" x14ac:dyDescent="0.3">
      <c r="A629" s="46" t="s">
        <v>1519</v>
      </c>
      <c r="B629" s="49" t="s">
        <v>268</v>
      </c>
      <c r="C629" s="2">
        <f>D629+L629+N629+P629+R629+S629+T629+U629</f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32">
        <v>0</v>
      </c>
      <c r="P629" s="32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6">
        <f>N629/M629</f>
        <v>5218.5114740541658</v>
      </c>
    </row>
    <row r="630" spans="1:22" ht="45" customHeight="1" x14ac:dyDescent="0.3">
      <c r="A630" s="45" t="s">
        <v>911</v>
      </c>
      <c r="B630" s="45"/>
      <c r="C630" s="2">
        <f t="shared" ref="C630:U630" si="148">SUM(C631)</f>
        <v>3692623.6</v>
      </c>
      <c r="D630" s="2">
        <f t="shared" si="148"/>
        <v>1005841.2</v>
      </c>
      <c r="E630" s="2">
        <f t="shared" si="148"/>
        <v>223650</v>
      </c>
      <c r="F630" s="2">
        <f t="shared" si="148"/>
        <v>670950</v>
      </c>
      <c r="G630" s="2">
        <f t="shared" si="148"/>
        <v>43770.6</v>
      </c>
      <c r="H630" s="2">
        <f t="shared" si="148"/>
        <v>0</v>
      </c>
      <c r="I630" s="2">
        <f t="shared" si="148"/>
        <v>67470.600000000006</v>
      </c>
      <c r="J630" s="2">
        <f t="shared" si="148"/>
        <v>0</v>
      </c>
      <c r="K630" s="38">
        <f t="shared" si="148"/>
        <v>0</v>
      </c>
      <c r="L630" s="2">
        <f t="shared" si="148"/>
        <v>0</v>
      </c>
      <c r="M630" s="2">
        <f t="shared" si="148"/>
        <v>312.7</v>
      </c>
      <c r="N630" s="2">
        <f t="shared" si="148"/>
        <v>1029731.4</v>
      </c>
      <c r="O630" s="2">
        <f t="shared" si="148"/>
        <v>0</v>
      </c>
      <c r="P630" s="2">
        <f t="shared" si="148"/>
        <v>0</v>
      </c>
      <c r="Q630" s="2">
        <f t="shared" si="148"/>
        <v>642</v>
      </c>
      <c r="R630" s="2">
        <f t="shared" si="148"/>
        <v>1557051</v>
      </c>
      <c r="S630" s="2">
        <f t="shared" si="148"/>
        <v>0</v>
      </c>
      <c r="T630" s="2">
        <f t="shared" si="148"/>
        <v>0</v>
      </c>
      <c r="U630" s="2">
        <f t="shared" si="148"/>
        <v>100000</v>
      </c>
    </row>
    <row r="631" spans="1:22" ht="27" customHeight="1" x14ac:dyDescent="0.3">
      <c r="A631" s="46" t="s">
        <v>1520</v>
      </c>
      <c r="B631" s="49" t="s">
        <v>912</v>
      </c>
      <c r="C631" s="2">
        <f>D631+L631+N631+P631+R631+S631+T631+U631</f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32">
        <v>0</v>
      </c>
      <c r="P631" s="32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6">
        <f>N631/M631</f>
        <v>3293.032938919092</v>
      </c>
    </row>
    <row r="632" spans="1:22" ht="46.2" customHeight="1" x14ac:dyDescent="0.3">
      <c r="A632" s="45" t="s">
        <v>269</v>
      </c>
      <c r="B632" s="45"/>
      <c r="C632" s="2">
        <f t="shared" ref="C632:U632" si="149">SUM(C633:C634)</f>
        <v>7269961.7799999993</v>
      </c>
      <c r="D632" s="2">
        <f t="shared" si="149"/>
        <v>297080</v>
      </c>
      <c r="E632" s="2">
        <f t="shared" si="149"/>
        <v>297080</v>
      </c>
      <c r="F632" s="2">
        <f t="shared" si="149"/>
        <v>0</v>
      </c>
      <c r="G632" s="2">
        <f t="shared" si="149"/>
        <v>0</v>
      </c>
      <c r="H632" s="2">
        <f t="shared" si="149"/>
        <v>0</v>
      </c>
      <c r="I632" s="2">
        <f t="shared" si="149"/>
        <v>0</v>
      </c>
      <c r="J632" s="2">
        <f t="shared" si="149"/>
        <v>0</v>
      </c>
      <c r="K632" s="38">
        <f t="shared" si="149"/>
        <v>0</v>
      </c>
      <c r="L632" s="2">
        <f t="shared" si="149"/>
        <v>0</v>
      </c>
      <c r="M632" s="2">
        <f t="shared" si="149"/>
        <v>686.8</v>
      </c>
      <c r="N632" s="2">
        <f t="shared" si="149"/>
        <v>3777400</v>
      </c>
      <c r="O632" s="2">
        <f t="shared" si="149"/>
        <v>0</v>
      </c>
      <c r="P632" s="2">
        <f t="shared" si="149"/>
        <v>0</v>
      </c>
      <c r="Q632" s="2">
        <f t="shared" si="149"/>
        <v>1054.5</v>
      </c>
      <c r="R632" s="2">
        <f t="shared" si="149"/>
        <v>3043500</v>
      </c>
      <c r="S632" s="2">
        <f t="shared" si="149"/>
        <v>0</v>
      </c>
      <c r="T632" s="2">
        <f t="shared" si="149"/>
        <v>0</v>
      </c>
      <c r="U632" s="2">
        <f t="shared" si="149"/>
        <v>151981.78</v>
      </c>
    </row>
    <row r="633" spans="1:22" ht="27" customHeight="1" x14ac:dyDescent="0.3">
      <c r="A633" s="46" t="s">
        <v>1521</v>
      </c>
      <c r="B633" s="49" t="s">
        <v>272</v>
      </c>
      <c r="C633" s="2">
        <f>D633+L633+N633+P633+R633+S633+T633+U633</f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6">
        <f>N633/M633</f>
        <v>5500</v>
      </c>
    </row>
    <row r="634" spans="1:22" ht="27" customHeight="1" x14ac:dyDescent="0.3">
      <c r="A634" s="46" t="s">
        <v>1522</v>
      </c>
      <c r="B634" s="49" t="s">
        <v>273</v>
      </c>
      <c r="C634" s="2">
        <f>D634+L634+N634+P634+R634+S634+T634+U634</f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6">
        <f>N634/M634</f>
        <v>5500</v>
      </c>
    </row>
    <row r="635" spans="1:22" ht="46.2" customHeight="1" x14ac:dyDescent="0.3">
      <c r="A635" s="45" t="s">
        <v>274</v>
      </c>
      <c r="B635" s="45"/>
      <c r="C635" s="2">
        <f t="shared" ref="C635:U635" si="150">SUM(C636:C644)</f>
        <v>18230771.170000002</v>
      </c>
      <c r="D635" s="2">
        <f t="shared" si="150"/>
        <v>892956.8</v>
      </c>
      <c r="E635" s="2">
        <f t="shared" si="150"/>
        <v>545139.19999999995</v>
      </c>
      <c r="F635" s="2">
        <f t="shared" si="150"/>
        <v>347817.6</v>
      </c>
      <c r="G635" s="2">
        <f t="shared" si="150"/>
        <v>0</v>
      </c>
      <c r="H635" s="2">
        <f t="shared" si="150"/>
        <v>0</v>
      </c>
      <c r="I635" s="2">
        <f t="shared" si="150"/>
        <v>0</v>
      </c>
      <c r="J635" s="2">
        <f t="shared" si="150"/>
        <v>0</v>
      </c>
      <c r="K635" s="38">
        <f t="shared" si="150"/>
        <v>0</v>
      </c>
      <c r="L635" s="2">
        <f t="shared" si="150"/>
        <v>0</v>
      </c>
      <c r="M635" s="2">
        <f t="shared" si="150"/>
        <v>2121.3700000000003</v>
      </c>
      <c r="N635" s="2">
        <f t="shared" si="150"/>
        <v>10511789.57</v>
      </c>
      <c r="O635" s="2">
        <f t="shared" si="150"/>
        <v>0</v>
      </c>
      <c r="P635" s="2">
        <f t="shared" si="150"/>
        <v>0</v>
      </c>
      <c r="Q635" s="2">
        <f t="shared" si="150"/>
        <v>2194.44</v>
      </c>
      <c r="R635" s="2">
        <f t="shared" si="150"/>
        <v>6416203.2000000002</v>
      </c>
      <c r="S635" s="2">
        <f t="shared" si="150"/>
        <v>0</v>
      </c>
      <c r="T635" s="2">
        <f t="shared" si="150"/>
        <v>0</v>
      </c>
      <c r="U635" s="2">
        <f t="shared" si="150"/>
        <v>409821.6</v>
      </c>
    </row>
    <row r="636" spans="1:22" ht="27" customHeight="1" x14ac:dyDescent="0.3">
      <c r="A636" s="46" t="s">
        <v>1523</v>
      </c>
      <c r="B636" s="49" t="s">
        <v>275</v>
      </c>
      <c r="C636" s="2">
        <f t="shared" ref="C636:C644" si="151">D636+L636+N636+P636+R636+S636+T636+U636</f>
        <v>1766970.54</v>
      </c>
      <c r="D636" s="3">
        <f t="shared" ref="D636:D644" si="15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>Q636*3000</f>
        <v>0</v>
      </c>
      <c r="S636" s="3">
        <v>0</v>
      </c>
      <c r="T636" s="3">
        <v>0</v>
      </c>
      <c r="U636" s="3">
        <v>0</v>
      </c>
      <c r="V636" s="6">
        <f t="shared" ref="V636:V644" si="153">N636/M636</f>
        <v>4839.556681548027</v>
      </c>
    </row>
    <row r="637" spans="1:22" ht="27" customHeight="1" x14ac:dyDescent="0.3">
      <c r="A637" s="46" t="s">
        <v>1524</v>
      </c>
      <c r="B637" s="49" t="s">
        <v>276</v>
      </c>
      <c r="C637" s="2">
        <f t="shared" si="151"/>
        <v>1828658.93</v>
      </c>
      <c r="D637" s="3">
        <f t="shared" si="15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>Q637*3000</f>
        <v>0</v>
      </c>
      <c r="S637" s="3">
        <v>0</v>
      </c>
      <c r="T637" s="3">
        <v>0</v>
      </c>
      <c r="U637" s="3">
        <v>0</v>
      </c>
      <c r="V637" s="6">
        <f t="shared" si="153"/>
        <v>4888.4167290419164</v>
      </c>
    </row>
    <row r="638" spans="1:22" ht="27" customHeight="1" x14ac:dyDescent="0.3">
      <c r="A638" s="46" t="s">
        <v>1525</v>
      </c>
      <c r="B638" s="49" t="s">
        <v>280</v>
      </c>
      <c r="C638" s="2">
        <f t="shared" si="151"/>
        <v>50765.18</v>
      </c>
      <c r="D638" s="3">
        <f t="shared" si="15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6" t="e">
        <f t="shared" si="153"/>
        <v>#DIV/0!</v>
      </c>
    </row>
    <row r="639" spans="1:22" ht="27" customHeight="1" x14ac:dyDescent="0.3">
      <c r="A639" s="46" t="s">
        <v>1526</v>
      </c>
      <c r="B639" s="49" t="s">
        <v>281</v>
      </c>
      <c r="C639" s="2">
        <f t="shared" si="151"/>
        <v>3752911.46</v>
      </c>
      <c r="D639" s="3">
        <f t="shared" si="15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6">
        <f t="shared" si="153"/>
        <v>5417.0488188976378</v>
      </c>
    </row>
    <row r="640" spans="1:22" ht="27" customHeight="1" x14ac:dyDescent="0.3">
      <c r="A640" s="46" t="s">
        <v>1527</v>
      </c>
      <c r="B640" s="49" t="s">
        <v>282</v>
      </c>
      <c r="C640" s="2">
        <f t="shared" si="151"/>
        <v>1982366</v>
      </c>
      <c r="D640" s="3">
        <f t="shared" si="15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>Q640*3000</f>
        <v>0</v>
      </c>
      <c r="S640" s="3">
        <v>0</v>
      </c>
      <c r="T640" s="3">
        <v>0</v>
      </c>
      <c r="U640" s="3">
        <v>0</v>
      </c>
      <c r="V640" s="6">
        <f t="shared" si="153"/>
        <v>5217.0272119585243</v>
      </c>
    </row>
    <row r="641" spans="1:22" ht="27" customHeight="1" x14ac:dyDescent="0.3">
      <c r="A641" s="46" t="s">
        <v>1528</v>
      </c>
      <c r="B641" s="49" t="s">
        <v>283</v>
      </c>
      <c r="C641" s="2">
        <f t="shared" si="151"/>
        <v>3756358.76</v>
      </c>
      <c r="D641" s="3">
        <f t="shared" si="152"/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6">
        <f t="shared" si="153"/>
        <v>4584.5023104104375</v>
      </c>
    </row>
    <row r="642" spans="1:22" ht="27" customHeight="1" x14ac:dyDescent="0.3">
      <c r="A642" s="46" t="s">
        <v>1529</v>
      </c>
      <c r="B642" s="49" t="s">
        <v>284</v>
      </c>
      <c r="C642" s="2">
        <f t="shared" si="151"/>
        <v>1985045.6199999999</v>
      </c>
      <c r="D642" s="3">
        <f t="shared" si="15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6" t="e">
        <f t="shared" si="153"/>
        <v>#DIV/0!</v>
      </c>
    </row>
    <row r="643" spans="1:22" ht="27" customHeight="1" x14ac:dyDescent="0.3">
      <c r="A643" s="46" t="s">
        <v>1530</v>
      </c>
      <c r="B643" s="49" t="s">
        <v>286</v>
      </c>
      <c r="C643" s="2">
        <f t="shared" si="151"/>
        <v>1924434.58</v>
      </c>
      <c r="D643" s="3">
        <f t="shared" si="15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6" t="e">
        <f t="shared" si="153"/>
        <v>#DIV/0!</v>
      </c>
    </row>
    <row r="644" spans="1:22" ht="27" customHeight="1" x14ac:dyDescent="0.3">
      <c r="A644" s="46" t="s">
        <v>1531</v>
      </c>
      <c r="B644" s="49" t="s">
        <v>285</v>
      </c>
      <c r="C644" s="2">
        <f t="shared" si="151"/>
        <v>1183260.1000000001</v>
      </c>
      <c r="D644" s="3">
        <f t="shared" si="152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6">
        <f t="shared" si="153"/>
        <v>4671.3782076589023</v>
      </c>
    </row>
    <row r="645" spans="1:22" ht="45" customHeight="1" x14ac:dyDescent="0.3">
      <c r="A645" s="60" t="s">
        <v>297</v>
      </c>
      <c r="B645" s="61"/>
      <c r="C645" s="2">
        <f>SUM(C646)</f>
        <v>2061214.01</v>
      </c>
      <c r="D645" s="2">
        <f t="shared" ref="D645:U645" si="154">SUM(D646:D646)</f>
        <v>0</v>
      </c>
      <c r="E645" s="2">
        <f t="shared" si="154"/>
        <v>0</v>
      </c>
      <c r="F645" s="2">
        <f t="shared" si="154"/>
        <v>0</v>
      </c>
      <c r="G645" s="2">
        <f t="shared" si="154"/>
        <v>0</v>
      </c>
      <c r="H645" s="2">
        <f t="shared" si="154"/>
        <v>0</v>
      </c>
      <c r="I645" s="2">
        <f t="shared" si="154"/>
        <v>0</v>
      </c>
      <c r="J645" s="2">
        <f t="shared" si="154"/>
        <v>0</v>
      </c>
      <c r="K645" s="38">
        <f t="shared" si="154"/>
        <v>0</v>
      </c>
      <c r="L645" s="2">
        <f t="shared" si="154"/>
        <v>0</v>
      </c>
      <c r="M645" s="2">
        <f t="shared" si="154"/>
        <v>198.82</v>
      </c>
      <c r="N645" s="2">
        <f t="shared" si="154"/>
        <v>1093510</v>
      </c>
      <c r="O645" s="2">
        <f t="shared" si="154"/>
        <v>0</v>
      </c>
      <c r="P645" s="2">
        <f t="shared" si="154"/>
        <v>0</v>
      </c>
      <c r="Q645" s="2">
        <f t="shared" si="154"/>
        <v>306</v>
      </c>
      <c r="R645" s="2">
        <f t="shared" si="154"/>
        <v>918000</v>
      </c>
      <c r="S645" s="2">
        <f t="shared" si="154"/>
        <v>0</v>
      </c>
      <c r="T645" s="2">
        <f t="shared" si="154"/>
        <v>0</v>
      </c>
      <c r="U645" s="2">
        <f t="shared" si="154"/>
        <v>49704.01</v>
      </c>
    </row>
    <row r="646" spans="1:22" ht="25.2" customHeight="1" x14ac:dyDescent="0.3">
      <c r="A646" s="34" t="s">
        <v>1532</v>
      </c>
      <c r="B646" s="49" t="s">
        <v>299</v>
      </c>
      <c r="C646" s="2">
        <f>D646+L646+N646+P646+R646+S646+T646+U646</f>
        <v>2061214.01</v>
      </c>
      <c r="D646" s="3">
        <f>SUM(E646:J646)</f>
        <v>0</v>
      </c>
      <c r="E646" s="32">
        <v>0</v>
      </c>
      <c r="F646" s="32">
        <v>0</v>
      </c>
      <c r="G646" s="32">
        <v>0</v>
      </c>
      <c r="H646" s="32">
        <v>0</v>
      </c>
      <c r="I646" s="32">
        <v>0</v>
      </c>
      <c r="J646" s="32">
        <v>0</v>
      </c>
      <c r="K646" s="33">
        <v>0</v>
      </c>
      <c r="L646" s="32">
        <v>0</v>
      </c>
      <c r="M646" s="32">
        <v>198.82</v>
      </c>
      <c r="N646" s="3">
        <v>1093510</v>
      </c>
      <c r="O646" s="32">
        <v>0</v>
      </c>
      <c r="P646" s="32">
        <v>0</v>
      </c>
      <c r="Q646" s="32">
        <v>306</v>
      </c>
      <c r="R646" s="3">
        <v>918000</v>
      </c>
      <c r="S646" s="32">
        <v>0</v>
      </c>
      <c r="T646" s="32">
        <v>0</v>
      </c>
      <c r="U646" s="3">
        <v>49704.01</v>
      </c>
      <c r="V646" s="6">
        <f>N646/M646</f>
        <v>5500</v>
      </c>
    </row>
    <row r="647" spans="1:22" ht="45" customHeight="1" x14ac:dyDescent="0.3">
      <c r="A647" s="45" t="s">
        <v>309</v>
      </c>
      <c r="B647" s="45"/>
      <c r="C647" s="2">
        <f t="shared" ref="C647:U647" si="155">SUM(C648:C650)</f>
        <v>11345698.74</v>
      </c>
      <c r="D647" s="2">
        <f t="shared" si="155"/>
        <v>275796</v>
      </c>
      <c r="E647" s="2">
        <f t="shared" si="155"/>
        <v>275796</v>
      </c>
      <c r="F647" s="2">
        <f t="shared" si="155"/>
        <v>0</v>
      </c>
      <c r="G647" s="2">
        <f t="shared" si="155"/>
        <v>0</v>
      </c>
      <c r="H647" s="2">
        <f t="shared" si="155"/>
        <v>0</v>
      </c>
      <c r="I647" s="2">
        <f t="shared" si="155"/>
        <v>0</v>
      </c>
      <c r="J647" s="2">
        <f t="shared" si="155"/>
        <v>0</v>
      </c>
      <c r="K647" s="38">
        <f t="shared" si="155"/>
        <v>0</v>
      </c>
      <c r="L647" s="2">
        <f t="shared" si="155"/>
        <v>0</v>
      </c>
      <c r="M647" s="2">
        <f t="shared" si="155"/>
        <v>1633.31</v>
      </c>
      <c r="N647" s="2">
        <f t="shared" si="155"/>
        <v>8891853</v>
      </c>
      <c r="O647" s="2">
        <f t="shared" si="155"/>
        <v>0</v>
      </c>
      <c r="P647" s="2">
        <f t="shared" si="155"/>
        <v>0</v>
      </c>
      <c r="Q647" s="2">
        <f t="shared" si="155"/>
        <v>716.78</v>
      </c>
      <c r="R647" s="2">
        <f t="shared" si="155"/>
        <v>2123192.4</v>
      </c>
      <c r="S647" s="2">
        <f t="shared" si="155"/>
        <v>0</v>
      </c>
      <c r="T647" s="2">
        <f t="shared" si="155"/>
        <v>0</v>
      </c>
      <c r="U647" s="2">
        <f t="shared" si="155"/>
        <v>54857.34</v>
      </c>
    </row>
    <row r="648" spans="1:22" ht="25.2" customHeight="1" x14ac:dyDescent="0.3">
      <c r="A648" s="46" t="s">
        <v>1533</v>
      </c>
      <c r="B648" s="49" t="s">
        <v>310</v>
      </c>
      <c r="C648" s="2">
        <f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6">
        <f>N648/M648</f>
        <v>5500.0000000000009</v>
      </c>
    </row>
    <row r="649" spans="1:22" ht="25.2" customHeight="1" x14ac:dyDescent="0.3">
      <c r="A649" s="46" t="s">
        <v>1534</v>
      </c>
      <c r="B649" s="49" t="s">
        <v>806</v>
      </c>
      <c r="C649" s="2">
        <f>D649+L649+N649+P649+R649+S649+T649+U649</f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6">
        <f>N649/M649</f>
        <v>5500</v>
      </c>
    </row>
    <row r="650" spans="1:22" ht="25.2" customHeight="1" x14ac:dyDescent="0.3">
      <c r="A650" s="46" t="s">
        <v>1535</v>
      </c>
      <c r="B650" s="49" t="s">
        <v>311</v>
      </c>
      <c r="C650" s="2">
        <f>D650+L650+N650+P650+R650+S650+T650+U650</f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6">
        <f>N650/M650</f>
        <v>5247.3672566371679</v>
      </c>
    </row>
    <row r="651" spans="1:22" ht="40.049999999999997" customHeight="1" x14ac:dyDescent="0.3">
      <c r="A651" s="45" t="s">
        <v>313</v>
      </c>
      <c r="B651" s="45"/>
      <c r="C651" s="2">
        <f t="shared" ref="C651:U651" si="156">SUM(C652)</f>
        <v>135975.51999999999</v>
      </c>
      <c r="D651" s="2">
        <f t="shared" si="156"/>
        <v>0</v>
      </c>
      <c r="E651" s="2">
        <f t="shared" si="156"/>
        <v>0</v>
      </c>
      <c r="F651" s="2">
        <f t="shared" si="156"/>
        <v>0</v>
      </c>
      <c r="G651" s="2">
        <f t="shared" si="156"/>
        <v>0</v>
      </c>
      <c r="H651" s="2">
        <f t="shared" si="156"/>
        <v>0</v>
      </c>
      <c r="I651" s="2">
        <f t="shared" si="156"/>
        <v>0</v>
      </c>
      <c r="J651" s="2">
        <f t="shared" si="156"/>
        <v>0</v>
      </c>
      <c r="K651" s="38">
        <f t="shared" si="156"/>
        <v>0</v>
      </c>
      <c r="L651" s="2">
        <f t="shared" si="156"/>
        <v>0</v>
      </c>
      <c r="M651" s="2">
        <f t="shared" si="156"/>
        <v>0</v>
      </c>
      <c r="N651" s="2">
        <f t="shared" si="156"/>
        <v>0</v>
      </c>
      <c r="O651" s="2">
        <f t="shared" si="156"/>
        <v>0</v>
      </c>
      <c r="P651" s="2">
        <f t="shared" si="156"/>
        <v>0</v>
      </c>
      <c r="Q651" s="2">
        <f t="shared" si="156"/>
        <v>0</v>
      </c>
      <c r="R651" s="2">
        <f t="shared" si="156"/>
        <v>0</v>
      </c>
      <c r="S651" s="2">
        <f t="shared" si="156"/>
        <v>0</v>
      </c>
      <c r="T651" s="2">
        <f t="shared" si="156"/>
        <v>0</v>
      </c>
      <c r="U651" s="2">
        <f t="shared" si="156"/>
        <v>135975.51999999999</v>
      </c>
    </row>
    <row r="652" spans="1:22" ht="25.2" customHeight="1" x14ac:dyDescent="0.3">
      <c r="A652" s="46" t="s">
        <v>1536</v>
      </c>
      <c r="B652" s="1" t="s">
        <v>314</v>
      </c>
      <c r="C652" s="2">
        <f>D652+L652+N652+P652+R652+S652+T652+U652</f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6" t="e">
        <f>N652/M652</f>
        <v>#DIV/0!</v>
      </c>
    </row>
    <row r="653" spans="1:22" ht="35.1" customHeight="1" x14ac:dyDescent="0.3">
      <c r="A653" s="45" t="s">
        <v>316</v>
      </c>
      <c r="B653" s="45"/>
      <c r="C653" s="2">
        <f t="shared" ref="C653:U653" si="157">SUM(C654)</f>
        <v>3360251.39</v>
      </c>
      <c r="D653" s="2">
        <f t="shared" si="157"/>
        <v>210542.89</v>
      </c>
      <c r="E653" s="2">
        <f t="shared" si="157"/>
        <v>210542.89</v>
      </c>
      <c r="F653" s="2">
        <f t="shared" si="157"/>
        <v>0</v>
      </c>
      <c r="G653" s="2">
        <f t="shared" si="157"/>
        <v>0</v>
      </c>
      <c r="H653" s="2">
        <f t="shared" si="157"/>
        <v>0</v>
      </c>
      <c r="I653" s="2">
        <f t="shared" si="157"/>
        <v>0</v>
      </c>
      <c r="J653" s="2">
        <f t="shared" si="157"/>
        <v>0</v>
      </c>
      <c r="K653" s="38">
        <f t="shared" si="157"/>
        <v>0</v>
      </c>
      <c r="L653" s="2">
        <f t="shared" si="157"/>
        <v>0</v>
      </c>
      <c r="M653" s="2">
        <f t="shared" si="157"/>
        <v>372</v>
      </c>
      <c r="N653" s="2">
        <f t="shared" si="157"/>
        <v>1857992.69</v>
      </c>
      <c r="O653" s="2">
        <f t="shared" si="157"/>
        <v>0</v>
      </c>
      <c r="P653" s="2">
        <f t="shared" si="157"/>
        <v>0</v>
      </c>
      <c r="Q653" s="2">
        <f t="shared" si="157"/>
        <v>449.2</v>
      </c>
      <c r="R653" s="2">
        <f t="shared" si="157"/>
        <v>1170166</v>
      </c>
      <c r="S653" s="2">
        <f t="shared" si="157"/>
        <v>0</v>
      </c>
      <c r="T653" s="2">
        <f t="shared" si="157"/>
        <v>0</v>
      </c>
      <c r="U653" s="2">
        <f t="shared" si="157"/>
        <v>121549.81</v>
      </c>
      <c r="V653" s="44">
        <f>C653</f>
        <v>3360251.39</v>
      </c>
    </row>
    <row r="654" spans="1:22" ht="24" customHeight="1" x14ac:dyDescent="0.3">
      <c r="A654" s="34" t="s">
        <v>1537</v>
      </c>
      <c r="B654" s="49" t="s">
        <v>317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3">
        <v>0</v>
      </c>
      <c r="L654" s="32">
        <v>0</v>
      </c>
      <c r="M654" s="32">
        <v>372</v>
      </c>
      <c r="N654" s="3">
        <v>1857992.69</v>
      </c>
      <c r="O654" s="32">
        <v>0</v>
      </c>
      <c r="P654" s="32">
        <v>0</v>
      </c>
      <c r="Q654" s="32">
        <v>449.2</v>
      </c>
      <c r="R654" s="32">
        <v>1170166</v>
      </c>
      <c r="S654" s="32">
        <v>0</v>
      </c>
      <c r="T654" s="32">
        <v>0</v>
      </c>
      <c r="U654" s="32">
        <v>121549.81</v>
      </c>
      <c r="V654" s="6">
        <f>N654/M654</f>
        <v>4994.6040053763436</v>
      </c>
    </row>
    <row r="655" spans="1:22" ht="40.049999999999997" customHeight="1" x14ac:dyDescent="0.3">
      <c r="A655" s="45" t="s">
        <v>318</v>
      </c>
      <c r="B655" s="45"/>
      <c r="C655" s="2">
        <f t="shared" ref="C655:U655" si="158">SUM(C656:C657)</f>
        <v>23757056.829999998</v>
      </c>
      <c r="D655" s="2">
        <f t="shared" si="158"/>
        <v>1892872.09</v>
      </c>
      <c r="E655" s="2">
        <f t="shared" si="158"/>
        <v>639576.05000000005</v>
      </c>
      <c r="F655" s="2">
        <f t="shared" si="158"/>
        <v>945793.27</v>
      </c>
      <c r="G655" s="2">
        <f t="shared" si="158"/>
        <v>106304.81</v>
      </c>
      <c r="H655" s="2">
        <f t="shared" si="158"/>
        <v>120763.15</v>
      </c>
      <c r="I655" s="2">
        <f t="shared" si="158"/>
        <v>80434.81</v>
      </c>
      <c r="J655" s="2">
        <f t="shared" si="158"/>
        <v>0</v>
      </c>
      <c r="K655" s="38">
        <f t="shared" si="158"/>
        <v>0</v>
      </c>
      <c r="L655" s="2">
        <f t="shared" si="158"/>
        <v>0</v>
      </c>
      <c r="M655" s="2">
        <f t="shared" si="158"/>
        <v>1921.59</v>
      </c>
      <c r="N655" s="2">
        <f t="shared" si="158"/>
        <v>10567276.800000001</v>
      </c>
      <c r="O655" s="2">
        <f t="shared" si="158"/>
        <v>0</v>
      </c>
      <c r="P655" s="2">
        <f t="shared" si="158"/>
        <v>0</v>
      </c>
      <c r="Q655" s="2">
        <f t="shared" si="158"/>
        <v>4702.6499999999996</v>
      </c>
      <c r="R655" s="2">
        <f t="shared" si="158"/>
        <v>11164609.199999999</v>
      </c>
      <c r="S655" s="2">
        <f t="shared" si="158"/>
        <v>0</v>
      </c>
      <c r="T655" s="2">
        <f t="shared" si="158"/>
        <v>0</v>
      </c>
      <c r="U655" s="2">
        <f t="shared" si="158"/>
        <v>132298.74</v>
      </c>
    </row>
    <row r="656" spans="1:22" ht="24" customHeight="1" x14ac:dyDescent="0.3">
      <c r="A656" s="46" t="s">
        <v>1538</v>
      </c>
      <c r="B656" s="49" t="s">
        <v>793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6" t="e">
        <f>N656/M656</f>
        <v>#DIV/0!</v>
      </c>
    </row>
    <row r="657" spans="1:22" ht="24" customHeight="1" x14ac:dyDescent="0.3">
      <c r="A657" s="46" t="s">
        <v>1539</v>
      </c>
      <c r="B657" s="49" t="s">
        <v>319</v>
      </c>
      <c r="C657" s="2">
        <f>D657+L657+N657+P657+R657+S657+T657+U657</f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6">
        <f>N657/M657</f>
        <v>5499.2359452328546</v>
      </c>
    </row>
    <row r="658" spans="1:22" ht="40.049999999999997" customHeight="1" x14ac:dyDescent="0.3">
      <c r="A658" s="45" t="s">
        <v>983</v>
      </c>
      <c r="B658" s="45"/>
      <c r="C658" s="2">
        <f t="shared" ref="C658:U658" si="159">SUM(C659:C671)</f>
        <v>60563369.990000002</v>
      </c>
      <c r="D658" s="2">
        <f t="shared" si="159"/>
        <v>8654544.8000000007</v>
      </c>
      <c r="E658" s="2">
        <f t="shared" si="159"/>
        <v>1420077</v>
      </c>
      <c r="F658" s="2">
        <f t="shared" si="159"/>
        <v>5745657</v>
      </c>
      <c r="G658" s="2">
        <f t="shared" si="159"/>
        <v>421925.6</v>
      </c>
      <c r="H658" s="2">
        <f t="shared" si="159"/>
        <v>0</v>
      </c>
      <c r="I658" s="2">
        <f t="shared" si="159"/>
        <v>1066885.2</v>
      </c>
      <c r="J658" s="2">
        <f t="shared" si="159"/>
        <v>0</v>
      </c>
      <c r="K658" s="38">
        <f t="shared" si="159"/>
        <v>6</v>
      </c>
      <c r="L658" s="2">
        <f t="shared" si="159"/>
        <v>10694764.24</v>
      </c>
      <c r="M658" s="2">
        <f t="shared" si="159"/>
        <v>2731.3</v>
      </c>
      <c r="N658" s="2">
        <f t="shared" si="159"/>
        <v>14673068.85</v>
      </c>
      <c r="O658" s="2">
        <f t="shared" si="159"/>
        <v>0</v>
      </c>
      <c r="P658" s="2">
        <f t="shared" si="159"/>
        <v>0</v>
      </c>
      <c r="Q658" s="2">
        <f t="shared" si="159"/>
        <v>8620.5</v>
      </c>
      <c r="R658" s="2">
        <f t="shared" si="159"/>
        <v>24698198.800000001</v>
      </c>
      <c r="S658" s="2">
        <f t="shared" si="159"/>
        <v>0</v>
      </c>
      <c r="T658" s="2">
        <f t="shared" si="159"/>
        <v>0</v>
      </c>
      <c r="U658" s="2">
        <f t="shared" si="159"/>
        <v>1842793.3</v>
      </c>
    </row>
    <row r="659" spans="1:22" ht="24" customHeight="1" x14ac:dyDescent="0.3">
      <c r="A659" s="46" t="s">
        <v>1540</v>
      </c>
      <c r="B659" s="49" t="s">
        <v>879</v>
      </c>
      <c r="C659" s="2">
        <f t="shared" ref="C659:C671" si="160">D659+L659+N659+P659+R659+S659+T659+U659</f>
        <v>4279515.25</v>
      </c>
      <c r="D659" s="3">
        <f t="shared" ref="D659:D671" si="161"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32">
        <v>823.6</v>
      </c>
      <c r="N659" s="32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6">
        <f t="shared" ref="V659:V671" si="162">N659/M659</f>
        <v>5196.1088513841669</v>
      </c>
    </row>
    <row r="660" spans="1:22" ht="24" customHeight="1" x14ac:dyDescent="0.3">
      <c r="A660" s="46" t="s">
        <v>1541</v>
      </c>
      <c r="B660" s="49" t="s">
        <v>331</v>
      </c>
      <c r="C660" s="2">
        <f t="shared" si="160"/>
        <v>2982065.3200000003</v>
      </c>
      <c r="D660" s="3">
        <f t="shared" si="161"/>
        <v>681004.8</v>
      </c>
      <c r="E660" s="3">
        <v>0</v>
      </c>
      <c r="F660" s="3">
        <v>522819.6</v>
      </c>
      <c r="G660" s="3">
        <v>56740.800000000003</v>
      </c>
      <c r="H660" s="3">
        <f t="shared" ref="H660:H666" si="163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6" t="e">
        <f t="shared" si="162"/>
        <v>#DIV/0!</v>
      </c>
    </row>
    <row r="661" spans="1:22" ht="24" customHeight="1" x14ac:dyDescent="0.3">
      <c r="A661" s="46" t="s">
        <v>1542</v>
      </c>
      <c r="B661" s="49" t="s">
        <v>332</v>
      </c>
      <c r="C661" s="2">
        <f t="shared" si="160"/>
        <v>2995278.7800000003</v>
      </c>
      <c r="D661" s="3">
        <f t="shared" si="161"/>
        <v>711931.20000000007</v>
      </c>
      <c r="E661" s="3">
        <v>0</v>
      </c>
      <c r="F661" s="3">
        <v>534177.6</v>
      </c>
      <c r="G661" s="3">
        <v>60562.8</v>
      </c>
      <c r="H661" s="3">
        <f t="shared" si="163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6" t="e">
        <f t="shared" si="162"/>
        <v>#DIV/0!</v>
      </c>
    </row>
    <row r="662" spans="1:22" ht="24" customHeight="1" x14ac:dyDescent="0.3">
      <c r="A662" s="46" t="s">
        <v>1543</v>
      </c>
      <c r="B662" s="49" t="s">
        <v>333</v>
      </c>
      <c r="C662" s="2">
        <f t="shared" si="160"/>
        <v>2276052.2199999997</v>
      </c>
      <c r="D662" s="3">
        <f t="shared" si="161"/>
        <v>0</v>
      </c>
      <c r="E662" s="3">
        <v>0</v>
      </c>
      <c r="F662" s="3">
        <v>0</v>
      </c>
      <c r="G662" s="3">
        <v>0</v>
      </c>
      <c r="H662" s="3">
        <f t="shared" si="163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6" t="e">
        <f t="shared" si="162"/>
        <v>#DIV/0!</v>
      </c>
    </row>
    <row r="663" spans="1:22" ht="24" customHeight="1" x14ac:dyDescent="0.3">
      <c r="A663" s="46" t="s">
        <v>1544</v>
      </c>
      <c r="B663" s="49" t="s">
        <v>334</v>
      </c>
      <c r="C663" s="2">
        <f t="shared" si="160"/>
        <v>2263189.4299999997</v>
      </c>
      <c r="D663" s="3">
        <f t="shared" si="161"/>
        <v>0</v>
      </c>
      <c r="E663" s="3">
        <v>0</v>
      </c>
      <c r="F663" s="3">
        <v>0</v>
      </c>
      <c r="G663" s="3">
        <v>0</v>
      </c>
      <c r="H663" s="3">
        <f t="shared" si="163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>M663*5500</f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6" t="e">
        <f t="shared" si="162"/>
        <v>#DIV/0!</v>
      </c>
    </row>
    <row r="664" spans="1:22" ht="24" customHeight="1" x14ac:dyDescent="0.3">
      <c r="A664" s="46" t="s">
        <v>1545</v>
      </c>
      <c r="B664" s="49" t="s">
        <v>335</v>
      </c>
      <c r="C664" s="2">
        <f t="shared" si="160"/>
        <v>2616397.7299999995</v>
      </c>
      <c r="D664" s="3">
        <f t="shared" si="161"/>
        <v>281860.8</v>
      </c>
      <c r="E664" s="3">
        <v>0</v>
      </c>
      <c r="F664" s="3">
        <v>281860.8</v>
      </c>
      <c r="G664" s="3">
        <v>0</v>
      </c>
      <c r="H664" s="3">
        <f t="shared" si="163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>M664*5500</f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6" t="e">
        <f t="shared" si="162"/>
        <v>#DIV/0!</v>
      </c>
    </row>
    <row r="665" spans="1:22" ht="24" customHeight="1" x14ac:dyDescent="0.3">
      <c r="A665" s="46" t="s">
        <v>1546</v>
      </c>
      <c r="B665" s="49" t="s">
        <v>337</v>
      </c>
      <c r="C665" s="2">
        <f t="shared" si="160"/>
        <v>1847307.2</v>
      </c>
      <c r="D665" s="3">
        <f t="shared" si="161"/>
        <v>617104</v>
      </c>
      <c r="E665" s="3">
        <f>350*458.6</f>
        <v>160510</v>
      </c>
      <c r="F665" s="3">
        <v>456594</v>
      </c>
      <c r="G665" s="3">
        <v>0</v>
      </c>
      <c r="H665" s="3">
        <f t="shared" si="163"/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6" t="e">
        <f t="shared" si="162"/>
        <v>#DIV/0!</v>
      </c>
    </row>
    <row r="666" spans="1:22" ht="24" customHeight="1" x14ac:dyDescent="0.3">
      <c r="A666" s="46" t="s">
        <v>1547</v>
      </c>
      <c r="B666" s="49" t="s">
        <v>338</v>
      </c>
      <c r="C666" s="2">
        <f t="shared" si="160"/>
        <v>2132641.04</v>
      </c>
      <c r="D666" s="3">
        <f t="shared" si="161"/>
        <v>0</v>
      </c>
      <c r="E666" s="3">
        <v>0</v>
      </c>
      <c r="F666" s="3">
        <v>0</v>
      </c>
      <c r="G666" s="3">
        <v>0</v>
      </c>
      <c r="H666" s="3">
        <f t="shared" si="163"/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6" t="e">
        <f t="shared" si="162"/>
        <v>#DIV/0!</v>
      </c>
    </row>
    <row r="667" spans="1:22" ht="24" customHeight="1" x14ac:dyDescent="0.3">
      <c r="A667" s="46" t="s">
        <v>1548</v>
      </c>
      <c r="B667" s="49" t="s">
        <v>339</v>
      </c>
      <c r="C667" s="2">
        <f t="shared" si="160"/>
        <v>12333260.310000001</v>
      </c>
      <c r="D667" s="3">
        <f t="shared" si="161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6">
        <f t="shared" si="162"/>
        <v>5499.0865951742626</v>
      </c>
    </row>
    <row r="668" spans="1:22" ht="24" customHeight="1" x14ac:dyDescent="0.3">
      <c r="A668" s="46" t="s">
        <v>1549</v>
      </c>
      <c r="B668" s="49" t="s">
        <v>340</v>
      </c>
      <c r="C668" s="2">
        <f t="shared" si="160"/>
        <v>3878279.6</v>
      </c>
      <c r="D668" s="3">
        <f t="shared" si="16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6">
        <f t="shared" si="162"/>
        <v>5289.2360263607516</v>
      </c>
    </row>
    <row r="669" spans="1:22" ht="24" customHeight="1" x14ac:dyDescent="0.3">
      <c r="A669" s="46" t="s">
        <v>1550</v>
      </c>
      <c r="B669" s="49" t="s">
        <v>341</v>
      </c>
      <c r="C669" s="2">
        <f t="shared" si="160"/>
        <v>11801658.710000001</v>
      </c>
      <c r="D669" s="3">
        <f t="shared" si="161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6">
        <f t="shared" si="162"/>
        <v>5484.3550531914898</v>
      </c>
    </row>
    <row r="670" spans="1:22" ht="24" customHeight="1" x14ac:dyDescent="0.3">
      <c r="A670" s="46" t="s">
        <v>1551</v>
      </c>
      <c r="B670" s="62" t="s">
        <v>993</v>
      </c>
      <c r="C670" s="2">
        <f t="shared" si="160"/>
        <v>462960.16</v>
      </c>
      <c r="D670" s="3">
        <f t="shared" si="161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63">
        <v>0</v>
      </c>
      <c r="R670" s="32">
        <v>0</v>
      </c>
      <c r="S670" s="3">
        <v>0</v>
      </c>
      <c r="T670" s="3">
        <v>0</v>
      </c>
      <c r="U670" s="3">
        <v>462960.16</v>
      </c>
      <c r="V670" s="6" t="e">
        <f t="shared" si="162"/>
        <v>#DIV/0!</v>
      </c>
    </row>
    <row r="671" spans="1:22" ht="24" customHeight="1" x14ac:dyDescent="0.3">
      <c r="A671" s="46" t="s">
        <v>1552</v>
      </c>
      <c r="B671" s="49" t="s">
        <v>354</v>
      </c>
      <c r="C671" s="2">
        <f t="shared" si="160"/>
        <v>10694764.24</v>
      </c>
      <c r="D671" s="3">
        <f t="shared" si="161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6" t="e">
        <f t="shared" si="162"/>
        <v>#DIV/0!</v>
      </c>
    </row>
    <row r="672" spans="1:22" ht="45" customHeight="1" x14ac:dyDescent="0.3">
      <c r="A672" s="45" t="s">
        <v>357</v>
      </c>
      <c r="B672" s="45"/>
      <c r="C672" s="2">
        <f>SUM(C673)</f>
        <v>1184924.3999999999</v>
      </c>
      <c r="D672" s="2">
        <f t="shared" ref="D672:U672" si="164">SUM(D673:D673)</f>
        <v>0</v>
      </c>
      <c r="E672" s="2">
        <f t="shared" si="164"/>
        <v>0</v>
      </c>
      <c r="F672" s="2">
        <f t="shared" si="164"/>
        <v>0</v>
      </c>
      <c r="G672" s="2">
        <f t="shared" si="164"/>
        <v>0</v>
      </c>
      <c r="H672" s="2">
        <f t="shared" si="164"/>
        <v>0</v>
      </c>
      <c r="I672" s="2">
        <f t="shared" si="164"/>
        <v>0</v>
      </c>
      <c r="J672" s="2">
        <f t="shared" si="164"/>
        <v>0</v>
      </c>
      <c r="K672" s="38">
        <f t="shared" si="164"/>
        <v>0</v>
      </c>
      <c r="L672" s="2">
        <f t="shared" si="164"/>
        <v>0</v>
      </c>
      <c r="M672" s="2">
        <f t="shared" si="164"/>
        <v>330.83</v>
      </c>
      <c r="N672" s="2">
        <f t="shared" si="164"/>
        <v>1184924.3999999999</v>
      </c>
      <c r="O672" s="2">
        <f t="shared" si="164"/>
        <v>0</v>
      </c>
      <c r="P672" s="2">
        <f t="shared" si="164"/>
        <v>0</v>
      </c>
      <c r="Q672" s="2">
        <f t="shared" si="164"/>
        <v>0</v>
      </c>
      <c r="R672" s="2">
        <f t="shared" si="164"/>
        <v>0</v>
      </c>
      <c r="S672" s="2">
        <f t="shared" si="164"/>
        <v>0</v>
      </c>
      <c r="T672" s="2">
        <f t="shared" si="164"/>
        <v>0</v>
      </c>
      <c r="U672" s="2">
        <f t="shared" si="164"/>
        <v>0</v>
      </c>
      <c r="V672" s="44">
        <f>C672</f>
        <v>1184924.3999999999</v>
      </c>
    </row>
    <row r="673" spans="1:22" ht="25.2" customHeight="1" x14ac:dyDescent="0.3">
      <c r="A673" s="46" t="s">
        <v>1553</v>
      </c>
      <c r="B673" s="49" t="s">
        <v>929</v>
      </c>
      <c r="C673" s="2">
        <f>D673+L673+N673+P673+R673+S673+T673+U673</f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6">
        <f>N673/M673</f>
        <v>3581.6715533657771</v>
      </c>
    </row>
    <row r="674" spans="1:22" ht="45" customHeight="1" x14ac:dyDescent="0.3">
      <c r="A674" s="45" t="s">
        <v>356</v>
      </c>
      <c r="B674" s="45"/>
      <c r="C674" s="2">
        <f t="shared" ref="C674:U674" si="165">SUM(C675)</f>
        <v>3335222.4</v>
      </c>
      <c r="D674" s="2">
        <f t="shared" si="165"/>
        <v>0</v>
      </c>
      <c r="E674" s="2">
        <f t="shared" si="165"/>
        <v>0</v>
      </c>
      <c r="F674" s="2">
        <f t="shared" si="165"/>
        <v>0</v>
      </c>
      <c r="G674" s="2">
        <f t="shared" si="165"/>
        <v>0</v>
      </c>
      <c r="H674" s="2">
        <f t="shared" si="165"/>
        <v>0</v>
      </c>
      <c r="I674" s="2">
        <f t="shared" si="165"/>
        <v>0</v>
      </c>
      <c r="J674" s="2">
        <f t="shared" si="165"/>
        <v>0</v>
      </c>
      <c r="K674" s="38">
        <f t="shared" si="165"/>
        <v>0</v>
      </c>
      <c r="L674" s="2">
        <f t="shared" si="165"/>
        <v>0</v>
      </c>
      <c r="M674" s="2">
        <f t="shared" si="165"/>
        <v>960.29</v>
      </c>
      <c r="N674" s="2">
        <f t="shared" si="165"/>
        <v>3335222.4</v>
      </c>
      <c r="O674" s="2">
        <f t="shared" si="165"/>
        <v>0</v>
      </c>
      <c r="P674" s="2">
        <f t="shared" si="165"/>
        <v>0</v>
      </c>
      <c r="Q674" s="2">
        <f t="shared" si="165"/>
        <v>0</v>
      </c>
      <c r="R674" s="2">
        <f t="shared" si="165"/>
        <v>0</v>
      </c>
      <c r="S674" s="2">
        <f t="shared" si="165"/>
        <v>0</v>
      </c>
      <c r="T674" s="2">
        <f t="shared" si="165"/>
        <v>0</v>
      </c>
      <c r="U674" s="2">
        <f t="shared" si="165"/>
        <v>0</v>
      </c>
      <c r="V674" s="44">
        <f>C674</f>
        <v>3335222.4</v>
      </c>
    </row>
    <row r="675" spans="1:22" ht="25.2" customHeight="1" x14ac:dyDescent="0.3">
      <c r="A675" s="46" t="s">
        <v>1554</v>
      </c>
      <c r="B675" s="64" t="s">
        <v>930</v>
      </c>
      <c r="C675" s="2">
        <f>D675+L675+N675+P675+R675+S675+T675+U675</f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6">
        <f>N675/M675</f>
        <v>3473.1408220433409</v>
      </c>
    </row>
    <row r="676" spans="1:22" s="42" customFormat="1" ht="24.9" customHeight="1" x14ac:dyDescent="0.3">
      <c r="A676" s="40" t="s">
        <v>198</v>
      </c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1"/>
    </row>
    <row r="677" spans="1:22" ht="24.9" customHeight="1" x14ac:dyDescent="0.3">
      <c r="A677" s="43" t="s">
        <v>199</v>
      </c>
      <c r="B677" s="43"/>
      <c r="C677" s="2">
        <f>C678+C683+C710+C712+C715+C719+C721+C725+C727+C733+C735+C737+C741+C746+C748+C754+C756+C762+C764+C766+C768+C770+C772+C775+C777+C784+C786+C788+C806+C808+C818+C827+C831+C849+C851+C854+C857+C859+C1103+C1105+C1107+C1110+C1112+C1115+C1117+C1121+C1127+C1129+C1134+C1136+C1138+C1141+C1145+C1147+C1149+C1151+C1177+C1181+C1183</f>
        <v>2530835392.9799995</v>
      </c>
      <c r="D677" s="2">
        <f t="shared" ref="D677:U677" si="166">D678+D683+D710+D712+D715+D719+D721+D725+D727+D733+D735+D737+D741+D746+D748+D754+D756+D762+D764+D766+D768+D770+D772+D775+D777+D784+D786+D788+D806+D808+D818+D827+D831+D849+D851+D854+D857+D859+D1103+D1105+D1107+D1110+D1112+D1115+D1117+D1121+D1127+D1129+D1134+D1136+D1138+D1141+D1145+D1147+D1149+D1151+D1177+D1181+D1183</f>
        <v>611965342.0999999</v>
      </c>
      <c r="E677" s="2">
        <f t="shared" si="166"/>
        <v>152592597.5</v>
      </c>
      <c r="F677" s="2">
        <f t="shared" si="166"/>
        <v>274377303.30000001</v>
      </c>
      <c r="G677" s="2">
        <f t="shared" si="166"/>
        <v>65480817</v>
      </c>
      <c r="H677" s="2">
        <f t="shared" si="166"/>
        <v>52593580</v>
      </c>
      <c r="I677" s="2">
        <f t="shared" si="166"/>
        <v>66921044.299999997</v>
      </c>
      <c r="J677" s="2">
        <f t="shared" si="166"/>
        <v>0</v>
      </c>
      <c r="K677" s="2">
        <f t="shared" si="166"/>
        <v>4</v>
      </c>
      <c r="L677" s="2">
        <f t="shared" si="166"/>
        <v>11000000</v>
      </c>
      <c r="M677" s="2">
        <f t="shared" si="166"/>
        <v>219065.47</v>
      </c>
      <c r="N677" s="2">
        <f t="shared" si="166"/>
        <v>1353084695.5999999</v>
      </c>
      <c r="O677" s="2">
        <f t="shared" si="166"/>
        <v>3234.4100000000003</v>
      </c>
      <c r="P677" s="2">
        <f t="shared" si="166"/>
        <v>3980472</v>
      </c>
      <c r="Q677" s="2">
        <f t="shared" si="166"/>
        <v>156867.56999999998</v>
      </c>
      <c r="R677" s="2">
        <f t="shared" si="166"/>
        <v>500427864</v>
      </c>
      <c r="S677" s="2">
        <f t="shared" si="166"/>
        <v>4029497.6</v>
      </c>
      <c r="T677" s="2">
        <f t="shared" si="166"/>
        <v>0</v>
      </c>
      <c r="U677" s="2">
        <f t="shared" si="166"/>
        <v>46347521.679999992</v>
      </c>
    </row>
    <row r="678" spans="1:22" ht="45" customHeight="1" x14ac:dyDescent="0.3">
      <c r="A678" s="45" t="s">
        <v>982</v>
      </c>
      <c r="B678" s="45"/>
      <c r="C678" s="2">
        <f t="shared" ref="C678:U678" si="167">SUM(C679:C682)</f>
        <v>19462904</v>
      </c>
      <c r="D678" s="2">
        <f t="shared" si="167"/>
        <v>1645020</v>
      </c>
      <c r="E678" s="2">
        <f t="shared" si="167"/>
        <v>442890</v>
      </c>
      <c r="F678" s="2">
        <f t="shared" si="167"/>
        <v>822510</v>
      </c>
      <c r="G678" s="2">
        <f t="shared" si="167"/>
        <v>189810</v>
      </c>
      <c r="H678" s="2">
        <f t="shared" si="167"/>
        <v>0</v>
      </c>
      <c r="I678" s="2">
        <f t="shared" si="167"/>
        <v>189810</v>
      </c>
      <c r="J678" s="2">
        <f t="shared" si="167"/>
        <v>0</v>
      </c>
      <c r="K678" s="38">
        <f t="shared" si="167"/>
        <v>0</v>
      </c>
      <c r="L678" s="2">
        <f t="shared" si="167"/>
        <v>0</v>
      </c>
      <c r="M678" s="2">
        <f t="shared" si="167"/>
        <v>2251.1999999999998</v>
      </c>
      <c r="N678" s="2">
        <f t="shared" si="167"/>
        <v>13985020</v>
      </c>
      <c r="O678" s="2">
        <f t="shared" si="167"/>
        <v>0</v>
      </c>
      <c r="P678" s="2">
        <f t="shared" si="167"/>
        <v>0</v>
      </c>
      <c r="Q678" s="2">
        <f t="shared" si="167"/>
        <v>666.52</v>
      </c>
      <c r="R678" s="2">
        <f t="shared" si="167"/>
        <v>2132864</v>
      </c>
      <c r="S678" s="2">
        <f t="shared" si="167"/>
        <v>0</v>
      </c>
      <c r="T678" s="2">
        <f t="shared" si="167"/>
        <v>0</v>
      </c>
      <c r="U678" s="2">
        <f t="shared" si="167"/>
        <v>1700000</v>
      </c>
    </row>
    <row r="679" spans="1:22" ht="25.2" customHeight="1" x14ac:dyDescent="0.3">
      <c r="A679" s="46" t="s">
        <v>1555</v>
      </c>
      <c r="B679" s="56" t="s">
        <v>19</v>
      </c>
      <c r="C679" s="2">
        <f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6">
        <f>N679/M679</f>
        <v>6600</v>
      </c>
    </row>
    <row r="680" spans="1:22" ht="25.2" customHeight="1" x14ac:dyDescent="0.3">
      <c r="A680" s="46" t="s">
        <v>1556</v>
      </c>
      <c r="B680" s="56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6">
        <f>N680/M680</f>
        <v>4450</v>
      </c>
    </row>
    <row r="681" spans="1:22" ht="25.2" customHeight="1" x14ac:dyDescent="0.3">
      <c r="A681" s="46" t="s">
        <v>1557</v>
      </c>
      <c r="B681" s="65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6">
        <f>N681/M681</f>
        <v>4450</v>
      </c>
    </row>
    <row r="682" spans="1:22" ht="25.2" customHeight="1" x14ac:dyDescent="0.3">
      <c r="A682" s="46" t="s">
        <v>1558</v>
      </c>
      <c r="B682" s="56" t="s">
        <v>24</v>
      </c>
      <c r="C682" s="2">
        <f>D682+L682+N682+P682+R682+S682+T682+U682</f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6">
        <f>N682/M682</f>
        <v>6600</v>
      </c>
    </row>
    <row r="683" spans="1:22" ht="45" customHeight="1" x14ac:dyDescent="0.3">
      <c r="A683" s="45" t="s">
        <v>0</v>
      </c>
      <c r="B683" s="45"/>
      <c r="C683" s="2">
        <f t="shared" ref="C683:U683" si="168">SUM(C684:C709)</f>
        <v>205342241.70999998</v>
      </c>
      <c r="D683" s="2">
        <f t="shared" si="168"/>
        <v>21974190</v>
      </c>
      <c r="E683" s="2">
        <f t="shared" si="168"/>
        <v>5923715</v>
      </c>
      <c r="F683" s="2">
        <f t="shared" si="168"/>
        <v>10134085</v>
      </c>
      <c r="G683" s="2">
        <f t="shared" si="168"/>
        <v>2538735</v>
      </c>
      <c r="H683" s="2">
        <f t="shared" si="168"/>
        <v>838920.00000000012</v>
      </c>
      <c r="I683" s="2">
        <f t="shared" si="168"/>
        <v>2538735</v>
      </c>
      <c r="J683" s="2">
        <f t="shared" si="168"/>
        <v>0</v>
      </c>
      <c r="K683" s="38">
        <f t="shared" si="168"/>
        <v>0</v>
      </c>
      <c r="L683" s="2">
        <f t="shared" si="168"/>
        <v>0</v>
      </c>
      <c r="M683" s="2">
        <f t="shared" si="168"/>
        <v>22149.919999999998</v>
      </c>
      <c r="N683" s="2">
        <f t="shared" si="168"/>
        <v>131605282</v>
      </c>
      <c r="O683" s="2">
        <f t="shared" si="168"/>
        <v>0</v>
      </c>
      <c r="P683" s="2">
        <f t="shared" si="168"/>
        <v>0</v>
      </c>
      <c r="Q683" s="2">
        <f t="shared" si="168"/>
        <v>15478</v>
      </c>
      <c r="R683" s="2">
        <f t="shared" si="168"/>
        <v>49529600</v>
      </c>
      <c r="S683" s="2">
        <f t="shared" si="168"/>
        <v>250000</v>
      </c>
      <c r="T683" s="2">
        <f t="shared" si="168"/>
        <v>0</v>
      </c>
      <c r="U683" s="2">
        <f t="shared" si="168"/>
        <v>1983169.71</v>
      </c>
    </row>
    <row r="684" spans="1:22" ht="24" customHeight="1" x14ac:dyDescent="0.3">
      <c r="A684" s="34" t="s">
        <v>1559</v>
      </c>
      <c r="B684" s="49" t="s">
        <v>1183</v>
      </c>
      <c r="C684" s="2">
        <f t="shared" ref="C684:C709" si="169">D684+L684+N684+P684+R684+S684+T684+U684</f>
        <v>300000</v>
      </c>
      <c r="D684" s="3">
        <f t="shared" ref="D684:D691" si="170"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4" customHeight="1" x14ac:dyDescent="0.3">
      <c r="A685" s="34" t="s">
        <v>1560</v>
      </c>
      <c r="B685" s="49" t="s">
        <v>833</v>
      </c>
      <c r="C685" s="2">
        <f t="shared" si="169"/>
        <v>13477270</v>
      </c>
      <c r="D685" s="3">
        <f t="shared" si="17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33">
        <v>0</v>
      </c>
      <c r="L685" s="32">
        <v>0</v>
      </c>
      <c r="M685" s="32">
        <v>3028.6</v>
      </c>
      <c r="N685" s="3">
        <f>M685*4450</f>
        <v>13477270</v>
      </c>
      <c r="O685" s="32">
        <v>0</v>
      </c>
      <c r="P685" s="32">
        <v>0</v>
      </c>
      <c r="Q685" s="32">
        <v>0</v>
      </c>
      <c r="R685" s="3">
        <f>Q685*3000</f>
        <v>0</v>
      </c>
      <c r="S685" s="32">
        <v>0</v>
      </c>
      <c r="T685" s="32">
        <v>0</v>
      </c>
      <c r="U685" s="32">
        <v>0</v>
      </c>
      <c r="V685" s="6">
        <f t="shared" ref="V685:V693" si="171">N685/M685</f>
        <v>4450</v>
      </c>
    </row>
    <row r="686" spans="1:22" ht="24" customHeight="1" x14ac:dyDescent="0.3">
      <c r="A686" s="34" t="s">
        <v>1561</v>
      </c>
      <c r="B686" s="47" t="s">
        <v>40</v>
      </c>
      <c r="C686" s="2">
        <f t="shared" si="169"/>
        <v>3781250</v>
      </c>
      <c r="D686" s="3">
        <f t="shared" si="17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6">
        <f t="shared" si="171"/>
        <v>5500</v>
      </c>
    </row>
    <row r="687" spans="1:22" ht="24" customHeight="1" x14ac:dyDescent="0.3">
      <c r="A687" s="34" t="s">
        <v>1562</v>
      </c>
      <c r="B687" s="49" t="s">
        <v>17</v>
      </c>
      <c r="C687" s="2">
        <f t="shared" si="169"/>
        <v>20219835.440000001</v>
      </c>
      <c r="D687" s="3">
        <f t="shared" si="170"/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6">
        <f t="shared" si="171"/>
        <v>6600</v>
      </c>
    </row>
    <row r="688" spans="1:22" ht="24" customHeight="1" x14ac:dyDescent="0.3">
      <c r="A688" s="34" t="s">
        <v>1563</v>
      </c>
      <c r="B688" s="49" t="s">
        <v>46</v>
      </c>
      <c r="C688" s="2">
        <f t="shared" si="169"/>
        <v>6416000</v>
      </c>
      <c r="D688" s="3">
        <f t="shared" si="170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48">
        <v>0</v>
      </c>
      <c r="O688" s="3">
        <v>0</v>
      </c>
      <c r="P688" s="3">
        <v>0</v>
      </c>
      <c r="Q688" s="3">
        <v>2005</v>
      </c>
      <c r="R688" s="3">
        <f>Q688*3200</f>
        <v>6416000</v>
      </c>
      <c r="S688" s="3">
        <v>0</v>
      </c>
      <c r="T688" s="32">
        <v>0</v>
      </c>
      <c r="U688" s="3">
        <v>0</v>
      </c>
      <c r="V688" s="6" t="e">
        <f t="shared" si="171"/>
        <v>#DIV/0!</v>
      </c>
    </row>
    <row r="689" spans="1:22" ht="24" customHeight="1" x14ac:dyDescent="0.3">
      <c r="A689" s="34" t="s">
        <v>1564</v>
      </c>
      <c r="B689" s="49" t="s">
        <v>49</v>
      </c>
      <c r="C689" s="2">
        <f t="shared" si="169"/>
        <v>12493200</v>
      </c>
      <c r="D689" s="3">
        <f t="shared" si="170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970</v>
      </c>
      <c r="N689" s="3">
        <f>M689*6600</f>
        <v>6402000</v>
      </c>
      <c r="O689" s="3">
        <v>0</v>
      </c>
      <c r="P689" s="3">
        <v>0</v>
      </c>
      <c r="Q689" s="3">
        <v>1903.5</v>
      </c>
      <c r="R689" s="3">
        <f>Q689*3200</f>
        <v>6091200</v>
      </c>
      <c r="S689" s="3">
        <v>0</v>
      </c>
      <c r="T689" s="32">
        <v>0</v>
      </c>
      <c r="U689" s="3">
        <v>0</v>
      </c>
      <c r="V689" s="6">
        <f t="shared" si="171"/>
        <v>6600</v>
      </c>
    </row>
    <row r="690" spans="1:22" ht="24" customHeight="1" x14ac:dyDescent="0.3">
      <c r="A690" s="34" t="s">
        <v>1565</v>
      </c>
      <c r="B690" s="49" t="s">
        <v>834</v>
      </c>
      <c r="C690" s="2">
        <f t="shared" si="169"/>
        <v>311260.45</v>
      </c>
      <c r="D690" s="3">
        <f t="shared" si="170"/>
        <v>0</v>
      </c>
      <c r="E690" s="3">
        <v>0</v>
      </c>
      <c r="F690" s="3">
        <v>0</v>
      </c>
      <c r="G690" s="3">
        <v>0</v>
      </c>
      <c r="H690" s="3">
        <f>400*0</f>
        <v>0</v>
      </c>
      <c r="I690" s="3">
        <v>0</v>
      </c>
      <c r="J690" s="3">
        <v>0</v>
      </c>
      <c r="K690" s="4">
        <v>0</v>
      </c>
      <c r="L690" s="3">
        <v>0</v>
      </c>
      <c r="M690" s="3">
        <v>0</v>
      </c>
      <c r="N690" s="48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2">
        <v>0</v>
      </c>
      <c r="U690" s="3">
        <v>311260.45</v>
      </c>
      <c r="V690" s="6" t="e">
        <f t="shared" si="171"/>
        <v>#DIV/0!</v>
      </c>
    </row>
    <row r="691" spans="1:22" ht="24" customHeight="1" x14ac:dyDescent="0.3">
      <c r="A691" s="34" t="s">
        <v>1566</v>
      </c>
      <c r="B691" s="49" t="s">
        <v>836</v>
      </c>
      <c r="C691" s="2">
        <f t="shared" si="169"/>
        <v>33158600</v>
      </c>
      <c r="D691" s="3">
        <f t="shared" si="170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3521</v>
      </c>
      <c r="N691" s="3">
        <f>M691*6600</f>
        <v>23238600</v>
      </c>
      <c r="O691" s="3">
        <v>0</v>
      </c>
      <c r="P691" s="3">
        <v>0</v>
      </c>
      <c r="Q691" s="3">
        <v>3100</v>
      </c>
      <c r="R691" s="3">
        <f>Q691*3200</f>
        <v>9920000</v>
      </c>
      <c r="S691" s="3">
        <v>0</v>
      </c>
      <c r="T691" s="32">
        <v>0</v>
      </c>
      <c r="U691" s="3">
        <v>0</v>
      </c>
      <c r="V691" s="6">
        <f t="shared" si="171"/>
        <v>6600</v>
      </c>
    </row>
    <row r="692" spans="1:22" ht="24" customHeight="1" x14ac:dyDescent="0.3">
      <c r="A692" s="34" t="s">
        <v>1567</v>
      </c>
      <c r="B692" s="47" t="s">
        <v>852</v>
      </c>
      <c r="C692" s="2">
        <f t="shared" si="169"/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48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6">
        <f t="shared" si="171"/>
        <v>6600</v>
      </c>
    </row>
    <row r="693" spans="1:22" ht="24" customHeight="1" x14ac:dyDescent="0.3">
      <c r="A693" s="34" t="s">
        <v>1568</v>
      </c>
      <c r="B693" s="49" t="s">
        <v>54</v>
      </c>
      <c r="C693" s="2">
        <f t="shared" si="169"/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48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6">
        <f t="shared" si="171"/>
        <v>6600</v>
      </c>
    </row>
    <row r="694" spans="1:22" ht="24" customHeight="1" x14ac:dyDescent="0.3">
      <c r="A694" s="34" t="s">
        <v>1569</v>
      </c>
      <c r="B694" s="49" t="s">
        <v>1192</v>
      </c>
      <c r="C694" s="2">
        <f t="shared" si="169"/>
        <v>300000</v>
      </c>
      <c r="D694" s="3">
        <f t="shared" ref="D694:D709" si="172"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2">
        <v>0</v>
      </c>
      <c r="U694" s="3">
        <v>300000</v>
      </c>
    </row>
    <row r="695" spans="1:22" ht="24" customHeight="1" x14ac:dyDescent="0.3">
      <c r="A695" s="34" t="s">
        <v>1570</v>
      </c>
      <c r="B695" s="49" t="s">
        <v>11</v>
      </c>
      <c r="C695" s="2">
        <f t="shared" si="169"/>
        <v>2049600</v>
      </c>
      <c r="D695" s="3">
        <f t="shared" si="17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48">
        <v>0</v>
      </c>
      <c r="O695" s="3">
        <v>0</v>
      </c>
      <c r="P695" s="3">
        <v>0</v>
      </c>
      <c r="Q695" s="3">
        <v>640.5</v>
      </c>
      <c r="R695" s="3">
        <f t="shared" ref="R695:R709" si="173">Q695*3200</f>
        <v>2049600</v>
      </c>
      <c r="S695" s="3">
        <v>0</v>
      </c>
      <c r="T695" s="32">
        <v>0</v>
      </c>
      <c r="U695" s="3">
        <v>0</v>
      </c>
      <c r="V695" s="6" t="e">
        <f>N695/M695</f>
        <v>#DIV/0!</v>
      </c>
    </row>
    <row r="696" spans="1:22" ht="24" customHeight="1" x14ac:dyDescent="0.3">
      <c r="A696" s="34" t="s">
        <v>1571</v>
      </c>
      <c r="B696" s="47" t="s">
        <v>59</v>
      </c>
      <c r="C696" s="2">
        <f t="shared" si="169"/>
        <v>6185500</v>
      </c>
      <c r="D696" s="3">
        <f t="shared" si="17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1390</v>
      </c>
      <c r="N696" s="3">
        <f>M696*4450</f>
        <v>6185500</v>
      </c>
      <c r="O696" s="3">
        <v>0</v>
      </c>
      <c r="P696" s="3">
        <v>0</v>
      </c>
      <c r="Q696" s="3">
        <v>0</v>
      </c>
      <c r="R696" s="3">
        <f t="shared" si="173"/>
        <v>0</v>
      </c>
      <c r="S696" s="3">
        <v>0</v>
      </c>
      <c r="T696" s="32">
        <v>0</v>
      </c>
      <c r="U696" s="3">
        <v>0</v>
      </c>
      <c r="V696" s="6">
        <f>N696/M696</f>
        <v>4450</v>
      </c>
    </row>
    <row r="697" spans="1:22" ht="24" customHeight="1" x14ac:dyDescent="0.3">
      <c r="A697" s="34" t="s">
        <v>1572</v>
      </c>
      <c r="B697" s="66" t="s">
        <v>62</v>
      </c>
      <c r="C697" s="2">
        <f t="shared" si="169"/>
        <v>6337980</v>
      </c>
      <c r="D697" s="3">
        <f t="shared" si="17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73"/>
        <v>0</v>
      </c>
      <c r="S697" s="3">
        <v>0</v>
      </c>
      <c r="T697" s="32">
        <v>0</v>
      </c>
      <c r="U697" s="3">
        <v>0</v>
      </c>
      <c r="V697" s="6">
        <f>N697/M697</f>
        <v>6600</v>
      </c>
    </row>
    <row r="698" spans="1:22" ht="24" customHeight="1" x14ac:dyDescent="0.3">
      <c r="A698" s="34" t="s">
        <v>1573</v>
      </c>
      <c r="B698" s="67" t="s">
        <v>63</v>
      </c>
      <c r="C698" s="2">
        <f t="shared" si="169"/>
        <v>6567000</v>
      </c>
      <c r="D698" s="3">
        <f t="shared" si="17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995</v>
      </c>
      <c r="N698" s="3">
        <f>M698*6600</f>
        <v>6567000</v>
      </c>
      <c r="O698" s="3">
        <v>0</v>
      </c>
      <c r="P698" s="3">
        <v>0</v>
      </c>
      <c r="Q698" s="3">
        <v>0</v>
      </c>
      <c r="R698" s="3">
        <f t="shared" si="173"/>
        <v>0</v>
      </c>
      <c r="S698" s="3">
        <v>0</v>
      </c>
      <c r="T698" s="32">
        <v>0</v>
      </c>
      <c r="U698" s="3">
        <v>0</v>
      </c>
      <c r="V698" s="6">
        <f>N698/M698</f>
        <v>6600</v>
      </c>
    </row>
    <row r="699" spans="1:22" ht="24" customHeight="1" x14ac:dyDescent="0.3">
      <c r="A699" s="34" t="s">
        <v>1574</v>
      </c>
      <c r="B699" s="49" t="s">
        <v>1177</v>
      </c>
      <c r="C699" s="2">
        <f t="shared" si="169"/>
        <v>1287000</v>
      </c>
      <c r="D699" s="3">
        <f t="shared" si="17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195</v>
      </c>
      <c r="N699" s="68">
        <f>M699*6600</f>
        <v>1287000</v>
      </c>
      <c r="O699" s="3">
        <v>0</v>
      </c>
      <c r="P699" s="3">
        <v>0</v>
      </c>
      <c r="Q699" s="3">
        <v>0</v>
      </c>
      <c r="R699" s="3">
        <f t="shared" si="173"/>
        <v>0</v>
      </c>
      <c r="S699" s="3">
        <v>0</v>
      </c>
      <c r="T699" s="3">
        <v>0</v>
      </c>
      <c r="U699" s="3">
        <v>0</v>
      </c>
      <c r="V699" s="7"/>
    </row>
    <row r="700" spans="1:22" ht="24" customHeight="1" x14ac:dyDescent="0.3">
      <c r="A700" s="34" t="s">
        <v>1575</v>
      </c>
      <c r="B700" s="49" t="s">
        <v>60</v>
      </c>
      <c r="C700" s="2">
        <f t="shared" si="169"/>
        <v>2046660.0000000002</v>
      </c>
      <c r="D700" s="3">
        <f t="shared" si="17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73"/>
        <v>0</v>
      </c>
      <c r="S700" s="3">
        <v>0</v>
      </c>
      <c r="T700" s="3">
        <v>0</v>
      </c>
      <c r="U700" s="3">
        <v>0</v>
      </c>
      <c r="V700" s="6">
        <f t="shared" ref="V700:V709" si="174">N700/M700</f>
        <v>6600</v>
      </c>
    </row>
    <row r="701" spans="1:22" ht="24" customHeight="1" x14ac:dyDescent="0.3">
      <c r="A701" s="34" t="s">
        <v>1576</v>
      </c>
      <c r="B701" s="49" t="s">
        <v>35</v>
      </c>
      <c r="C701" s="2">
        <f t="shared" si="169"/>
        <v>37030228</v>
      </c>
      <c r="D701" s="3">
        <f t="shared" si="17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73"/>
        <v>11024000</v>
      </c>
      <c r="S701" s="3">
        <v>250000</v>
      </c>
      <c r="T701" s="32">
        <v>0</v>
      </c>
      <c r="U701" s="3">
        <v>200000</v>
      </c>
      <c r="V701" s="6">
        <f t="shared" si="174"/>
        <v>6600</v>
      </c>
    </row>
    <row r="702" spans="1:22" ht="24" customHeight="1" x14ac:dyDescent="0.3">
      <c r="A702" s="34" t="s">
        <v>1577</v>
      </c>
      <c r="B702" s="49" t="s">
        <v>64</v>
      </c>
      <c r="C702" s="2">
        <f t="shared" si="169"/>
        <v>14795500</v>
      </c>
      <c r="D702" s="3">
        <f t="shared" si="17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73"/>
        <v>9228800</v>
      </c>
      <c r="S702" s="3">
        <v>0</v>
      </c>
      <c r="T702" s="3">
        <v>0</v>
      </c>
      <c r="U702" s="3">
        <v>200000</v>
      </c>
      <c r="V702" s="6">
        <f t="shared" si="174"/>
        <v>4450</v>
      </c>
    </row>
    <row r="703" spans="1:22" ht="24" customHeight="1" x14ac:dyDescent="0.3">
      <c r="A703" s="34" t="s">
        <v>1959</v>
      </c>
      <c r="B703" s="49" t="s">
        <v>65</v>
      </c>
      <c r="C703" s="2">
        <f t="shared" si="169"/>
        <v>4468200</v>
      </c>
      <c r="D703" s="3">
        <f t="shared" si="17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677</v>
      </c>
      <c r="N703" s="3">
        <f>M703*6600</f>
        <v>4468200</v>
      </c>
      <c r="O703" s="3">
        <v>0</v>
      </c>
      <c r="P703" s="3">
        <v>0</v>
      </c>
      <c r="Q703" s="3">
        <v>0</v>
      </c>
      <c r="R703" s="3">
        <f t="shared" si="173"/>
        <v>0</v>
      </c>
      <c r="S703" s="3">
        <v>0</v>
      </c>
      <c r="T703" s="32">
        <v>0</v>
      </c>
      <c r="U703" s="3">
        <v>0</v>
      </c>
      <c r="V703" s="6">
        <f t="shared" si="174"/>
        <v>6600</v>
      </c>
    </row>
    <row r="704" spans="1:22" ht="24" customHeight="1" x14ac:dyDescent="0.3">
      <c r="A704" s="34" t="s">
        <v>1960</v>
      </c>
      <c r="B704" s="49" t="s">
        <v>66</v>
      </c>
      <c r="C704" s="2">
        <f t="shared" si="169"/>
        <v>3591150</v>
      </c>
      <c r="D704" s="3">
        <f t="shared" si="17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807</v>
      </c>
      <c r="N704" s="3">
        <f>M704*4450</f>
        <v>3591150</v>
      </c>
      <c r="O704" s="3">
        <v>0</v>
      </c>
      <c r="P704" s="3">
        <v>0</v>
      </c>
      <c r="Q704" s="3">
        <v>0</v>
      </c>
      <c r="R704" s="3">
        <f t="shared" si="173"/>
        <v>0</v>
      </c>
      <c r="S704" s="3">
        <v>0</v>
      </c>
      <c r="T704" s="32">
        <v>0</v>
      </c>
      <c r="U704" s="3">
        <v>0</v>
      </c>
      <c r="V704" s="6">
        <f t="shared" si="174"/>
        <v>4450</v>
      </c>
    </row>
    <row r="705" spans="1:22" ht="24" customHeight="1" x14ac:dyDescent="0.3">
      <c r="A705" s="34" t="s">
        <v>1961</v>
      </c>
      <c r="B705" s="49" t="s">
        <v>69</v>
      </c>
      <c r="C705" s="2">
        <f t="shared" si="169"/>
        <v>1744380</v>
      </c>
      <c r="D705" s="3">
        <f t="shared" si="17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264.3</v>
      </c>
      <c r="N705" s="3">
        <f>M705*6600</f>
        <v>1744380</v>
      </c>
      <c r="O705" s="3">
        <v>0</v>
      </c>
      <c r="P705" s="3">
        <v>0</v>
      </c>
      <c r="Q705" s="3">
        <v>0</v>
      </c>
      <c r="R705" s="3">
        <f t="shared" si="173"/>
        <v>0</v>
      </c>
      <c r="S705" s="3">
        <v>0</v>
      </c>
      <c r="T705" s="32">
        <v>0</v>
      </c>
      <c r="U705" s="3">
        <v>0</v>
      </c>
      <c r="V705" s="6">
        <f t="shared" si="174"/>
        <v>6600</v>
      </c>
    </row>
    <row r="706" spans="1:22" ht="24" customHeight="1" x14ac:dyDescent="0.3">
      <c r="A706" s="34" t="s">
        <v>1962</v>
      </c>
      <c r="B706" s="49" t="s">
        <v>67</v>
      </c>
      <c r="C706" s="2">
        <f t="shared" si="169"/>
        <v>2962095.82</v>
      </c>
      <c r="D706" s="3">
        <f t="shared" si="172"/>
        <v>2839122</v>
      </c>
      <c r="E706" s="3">
        <f>700*1091.97</f>
        <v>764379</v>
      </c>
      <c r="F706" s="3">
        <f>1300*1091.97</f>
        <v>1419561</v>
      </c>
      <c r="G706" s="3">
        <f>300*1091.97</f>
        <v>327591</v>
      </c>
      <c r="H706" s="3">
        <v>0</v>
      </c>
      <c r="I706" s="3">
        <f>300*1091.97</f>
        <v>327591</v>
      </c>
      <c r="J706" s="3">
        <v>0</v>
      </c>
      <c r="K706" s="4">
        <v>0</v>
      </c>
      <c r="L706" s="3">
        <v>0</v>
      </c>
      <c r="M706" s="3">
        <v>0</v>
      </c>
      <c r="N706" s="48">
        <v>0</v>
      </c>
      <c r="O706" s="3">
        <v>0</v>
      </c>
      <c r="P706" s="3">
        <v>0</v>
      </c>
      <c r="Q706" s="3">
        <v>0</v>
      </c>
      <c r="R706" s="3">
        <f t="shared" si="173"/>
        <v>0</v>
      </c>
      <c r="S706" s="3">
        <v>0</v>
      </c>
      <c r="T706" s="32">
        <v>0</v>
      </c>
      <c r="U706" s="3">
        <v>122973.82</v>
      </c>
      <c r="V706" s="6" t="e">
        <f t="shared" si="174"/>
        <v>#DIV/0!</v>
      </c>
    </row>
    <row r="707" spans="1:22" ht="24" customHeight="1" x14ac:dyDescent="0.3">
      <c r="A707" s="34" t="s">
        <v>1963</v>
      </c>
      <c r="B707" s="49" t="s">
        <v>68</v>
      </c>
      <c r="C707" s="2">
        <f t="shared" si="169"/>
        <v>4228820</v>
      </c>
      <c r="D707" s="3">
        <f t="shared" si="172"/>
        <v>867100</v>
      </c>
      <c r="E707" s="3">
        <f>700*667</f>
        <v>466900</v>
      </c>
      <c r="F707" s="3">
        <f>1300*0</f>
        <v>0</v>
      </c>
      <c r="G707" s="3">
        <f>300*667</f>
        <v>200100</v>
      </c>
      <c r="H707" s="3">
        <v>0</v>
      </c>
      <c r="I707" s="3">
        <f>300*667</f>
        <v>200100</v>
      </c>
      <c r="J707" s="3">
        <v>0</v>
      </c>
      <c r="K707" s="4">
        <v>0</v>
      </c>
      <c r="L707" s="3">
        <v>0</v>
      </c>
      <c r="M707" s="3">
        <v>494.2</v>
      </c>
      <c r="N707" s="3">
        <f>M707*6600</f>
        <v>3261720</v>
      </c>
      <c r="O707" s="3">
        <v>0</v>
      </c>
      <c r="P707" s="3">
        <v>0</v>
      </c>
      <c r="Q707" s="3">
        <v>0</v>
      </c>
      <c r="R707" s="3">
        <f t="shared" si="173"/>
        <v>0</v>
      </c>
      <c r="S707" s="3">
        <v>0</v>
      </c>
      <c r="T707" s="32">
        <v>0</v>
      </c>
      <c r="U707" s="3">
        <v>100000</v>
      </c>
      <c r="V707" s="6">
        <f t="shared" si="174"/>
        <v>6600</v>
      </c>
    </row>
    <row r="708" spans="1:22" ht="24" customHeight="1" x14ac:dyDescent="0.3">
      <c r="A708" s="34" t="s">
        <v>1964</v>
      </c>
      <c r="B708" s="49" t="s">
        <v>70</v>
      </c>
      <c r="C708" s="2">
        <f t="shared" si="169"/>
        <v>2118600</v>
      </c>
      <c r="D708" s="3">
        <f t="shared" si="172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321</v>
      </c>
      <c r="N708" s="3">
        <f>M708*6600</f>
        <v>2118600</v>
      </c>
      <c r="O708" s="3">
        <v>0</v>
      </c>
      <c r="P708" s="3">
        <v>0</v>
      </c>
      <c r="Q708" s="3">
        <v>0</v>
      </c>
      <c r="R708" s="3">
        <f t="shared" si="173"/>
        <v>0</v>
      </c>
      <c r="S708" s="3">
        <v>0</v>
      </c>
      <c r="T708" s="32">
        <v>0</v>
      </c>
      <c r="U708" s="3">
        <v>0</v>
      </c>
      <c r="V708" s="6">
        <f t="shared" si="174"/>
        <v>6600</v>
      </c>
    </row>
    <row r="709" spans="1:22" ht="24" customHeight="1" x14ac:dyDescent="0.3">
      <c r="A709" s="34" t="s">
        <v>1965</v>
      </c>
      <c r="B709" s="49" t="s">
        <v>817</v>
      </c>
      <c r="C709" s="2">
        <f t="shared" si="169"/>
        <v>12870000</v>
      </c>
      <c r="D709" s="3">
        <f t="shared" si="17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1950</v>
      </c>
      <c r="N709" s="3">
        <f>M709*6600</f>
        <v>12870000</v>
      </c>
      <c r="O709" s="3">
        <v>0</v>
      </c>
      <c r="P709" s="3">
        <v>0</v>
      </c>
      <c r="Q709" s="3">
        <v>0</v>
      </c>
      <c r="R709" s="3">
        <f t="shared" si="173"/>
        <v>0</v>
      </c>
      <c r="S709" s="3">
        <v>0</v>
      </c>
      <c r="T709" s="32">
        <v>0</v>
      </c>
      <c r="U709" s="3">
        <v>0</v>
      </c>
      <c r="V709" s="6">
        <f t="shared" si="174"/>
        <v>6600</v>
      </c>
    </row>
    <row r="710" spans="1:22" ht="40.049999999999997" customHeight="1" x14ac:dyDescent="0.3">
      <c r="A710" s="45" t="s">
        <v>30</v>
      </c>
      <c r="B710" s="45"/>
      <c r="C710" s="2">
        <f t="shared" ref="C710:U710" si="175">SUM(C711)</f>
        <v>2356200</v>
      </c>
      <c r="D710" s="2">
        <f t="shared" si="175"/>
        <v>0</v>
      </c>
      <c r="E710" s="2">
        <f t="shared" si="175"/>
        <v>0</v>
      </c>
      <c r="F710" s="2">
        <f t="shared" si="175"/>
        <v>0</v>
      </c>
      <c r="G710" s="2">
        <f t="shared" si="175"/>
        <v>0</v>
      </c>
      <c r="H710" s="2">
        <f t="shared" si="175"/>
        <v>0</v>
      </c>
      <c r="I710" s="2">
        <f t="shared" si="175"/>
        <v>0</v>
      </c>
      <c r="J710" s="2">
        <f t="shared" si="175"/>
        <v>0</v>
      </c>
      <c r="K710" s="38">
        <f t="shared" si="175"/>
        <v>0</v>
      </c>
      <c r="L710" s="2">
        <f t="shared" si="175"/>
        <v>0</v>
      </c>
      <c r="M710" s="2">
        <f t="shared" si="175"/>
        <v>357</v>
      </c>
      <c r="N710" s="2">
        <f t="shared" si="175"/>
        <v>2356200</v>
      </c>
      <c r="O710" s="2">
        <f t="shared" si="175"/>
        <v>0</v>
      </c>
      <c r="P710" s="2">
        <f t="shared" si="175"/>
        <v>0</v>
      </c>
      <c r="Q710" s="2">
        <f t="shared" si="175"/>
        <v>0</v>
      </c>
      <c r="R710" s="2">
        <f t="shared" si="175"/>
        <v>0</v>
      </c>
      <c r="S710" s="2">
        <f t="shared" si="175"/>
        <v>0</v>
      </c>
      <c r="T710" s="2">
        <f t="shared" si="175"/>
        <v>0</v>
      </c>
      <c r="U710" s="2">
        <f t="shared" si="175"/>
        <v>0</v>
      </c>
      <c r="V710" s="44">
        <f>C710</f>
        <v>2356200</v>
      </c>
    </row>
    <row r="711" spans="1:22" ht="25.2" customHeight="1" x14ac:dyDescent="0.3">
      <c r="A711" s="46" t="s">
        <v>1966</v>
      </c>
      <c r="B711" s="49" t="s">
        <v>31</v>
      </c>
      <c r="C711" s="2">
        <f>D711+L711+N711+P711+R711+S711+T711+U711</f>
        <v>2356200</v>
      </c>
      <c r="D711" s="3">
        <f>SUM(E711:J711)</f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4">
        <v>0</v>
      </c>
      <c r="L711" s="3">
        <v>0</v>
      </c>
      <c r="M711" s="3">
        <v>357</v>
      </c>
      <c r="N711" s="3">
        <f>M711*6600</f>
        <v>2356200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6">
        <f>N711/M711</f>
        <v>6600</v>
      </c>
    </row>
    <row r="712" spans="1:22" ht="40.049999999999997" customHeight="1" x14ac:dyDescent="0.3">
      <c r="A712" s="45" t="s">
        <v>28</v>
      </c>
      <c r="B712" s="45"/>
      <c r="C712" s="2">
        <f t="shared" ref="C712:U712" si="176">SUM(C713:C714)</f>
        <v>8500228</v>
      </c>
      <c r="D712" s="2">
        <f t="shared" si="176"/>
        <v>586208</v>
      </c>
      <c r="E712" s="2">
        <f t="shared" si="176"/>
        <v>586208</v>
      </c>
      <c r="F712" s="2">
        <f t="shared" si="176"/>
        <v>0</v>
      </c>
      <c r="G712" s="2">
        <f t="shared" si="176"/>
        <v>0</v>
      </c>
      <c r="H712" s="2">
        <f t="shared" si="176"/>
        <v>0</v>
      </c>
      <c r="I712" s="2">
        <f t="shared" si="176"/>
        <v>0</v>
      </c>
      <c r="J712" s="2">
        <f t="shared" si="176"/>
        <v>0</v>
      </c>
      <c r="K712" s="38">
        <f t="shared" si="176"/>
        <v>0</v>
      </c>
      <c r="L712" s="2">
        <f t="shared" si="176"/>
        <v>0</v>
      </c>
      <c r="M712" s="2">
        <f t="shared" si="176"/>
        <v>790</v>
      </c>
      <c r="N712" s="2">
        <f t="shared" si="176"/>
        <v>5214000</v>
      </c>
      <c r="O712" s="2">
        <f t="shared" si="176"/>
        <v>0</v>
      </c>
      <c r="P712" s="2">
        <f t="shared" si="176"/>
        <v>0</v>
      </c>
      <c r="Q712" s="2">
        <f t="shared" si="176"/>
        <v>506</v>
      </c>
      <c r="R712" s="2">
        <f t="shared" si="176"/>
        <v>1619200</v>
      </c>
      <c r="S712" s="2">
        <f t="shared" si="176"/>
        <v>680820</v>
      </c>
      <c r="T712" s="2">
        <f t="shared" si="176"/>
        <v>0</v>
      </c>
      <c r="U712" s="2">
        <f t="shared" si="176"/>
        <v>400000</v>
      </c>
      <c r="V712" s="44">
        <f>C712</f>
        <v>8500228</v>
      </c>
    </row>
    <row r="713" spans="1:22" ht="25.2" customHeight="1" x14ac:dyDescent="0.3">
      <c r="A713" s="46" t="s">
        <v>1967</v>
      </c>
      <c r="B713" s="49" t="s">
        <v>29</v>
      </c>
      <c r="C713" s="2">
        <f>D713+L713+N713+P713+R713+S713+T713+U713</f>
        <v>2624095</v>
      </c>
      <c r="D713" s="3">
        <f>SUM(E713:J713)</f>
        <v>214095.00000000003</v>
      </c>
      <c r="E713" s="3">
        <f>700*305.85</f>
        <v>214095.00000000003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350</v>
      </c>
      <c r="N713" s="3">
        <f>M713*6600</f>
        <v>2310000</v>
      </c>
      <c r="O713" s="3">
        <v>0</v>
      </c>
      <c r="P713" s="3">
        <v>0</v>
      </c>
      <c r="Q713" s="3">
        <v>0</v>
      </c>
      <c r="R713" s="3">
        <f>Q713*3000</f>
        <v>0</v>
      </c>
      <c r="S713" s="3">
        <v>0</v>
      </c>
      <c r="T713" s="3">
        <v>0</v>
      </c>
      <c r="U713" s="3">
        <v>100000</v>
      </c>
      <c r="V713" s="6">
        <f>N713/M713</f>
        <v>6600</v>
      </c>
    </row>
    <row r="714" spans="1:22" ht="25.2" customHeight="1" x14ac:dyDescent="0.3">
      <c r="A714" s="46" t="s">
        <v>1968</v>
      </c>
      <c r="B714" s="49" t="s">
        <v>837</v>
      </c>
      <c r="C714" s="2">
        <f>D714+L714+N714+P714+R714+S714+T714+U714</f>
        <v>5876133</v>
      </c>
      <c r="D714" s="3">
        <f>SUM(E714:J714)</f>
        <v>372113</v>
      </c>
      <c r="E714" s="3">
        <f>700*531.59</f>
        <v>372113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440</v>
      </c>
      <c r="N714" s="3">
        <f>M714*6600</f>
        <v>2904000</v>
      </c>
      <c r="O714" s="3">
        <v>0</v>
      </c>
      <c r="P714" s="3">
        <v>0</v>
      </c>
      <c r="Q714" s="3">
        <v>506</v>
      </c>
      <c r="R714" s="3">
        <f>Q714*3200</f>
        <v>1619200</v>
      </c>
      <c r="S714" s="3">
        <v>680820</v>
      </c>
      <c r="T714" s="3">
        <v>0</v>
      </c>
      <c r="U714" s="3">
        <v>300000</v>
      </c>
      <c r="V714" s="6">
        <f>N714/M714</f>
        <v>6600</v>
      </c>
    </row>
    <row r="715" spans="1:22" ht="40.049999999999997" customHeight="1" x14ac:dyDescent="0.3">
      <c r="A715" s="45" t="s">
        <v>73</v>
      </c>
      <c r="B715" s="45"/>
      <c r="C715" s="2">
        <f t="shared" ref="C715:U715" si="177">SUM(C716:C718)</f>
        <v>17243798</v>
      </c>
      <c r="D715" s="2">
        <f t="shared" si="177"/>
        <v>0</v>
      </c>
      <c r="E715" s="2">
        <f t="shared" si="177"/>
        <v>0</v>
      </c>
      <c r="F715" s="2">
        <f t="shared" si="177"/>
        <v>0</v>
      </c>
      <c r="G715" s="2">
        <f t="shared" si="177"/>
        <v>0</v>
      </c>
      <c r="H715" s="2">
        <f t="shared" si="177"/>
        <v>0</v>
      </c>
      <c r="I715" s="2">
        <f t="shared" si="177"/>
        <v>0</v>
      </c>
      <c r="J715" s="2">
        <f t="shared" si="177"/>
        <v>0</v>
      </c>
      <c r="K715" s="38">
        <f t="shared" si="177"/>
        <v>0</v>
      </c>
      <c r="L715" s="2">
        <f t="shared" si="177"/>
        <v>0</v>
      </c>
      <c r="M715" s="2">
        <f t="shared" si="177"/>
        <v>1091.1500000000001</v>
      </c>
      <c r="N715" s="2">
        <f t="shared" si="177"/>
        <v>7201590</v>
      </c>
      <c r="O715" s="2">
        <f t="shared" si="177"/>
        <v>0</v>
      </c>
      <c r="P715" s="2">
        <f t="shared" si="177"/>
        <v>0</v>
      </c>
      <c r="Q715" s="2">
        <f t="shared" si="177"/>
        <v>3138.19</v>
      </c>
      <c r="R715" s="2">
        <f t="shared" si="177"/>
        <v>10042208</v>
      </c>
      <c r="S715" s="2">
        <f t="shared" si="177"/>
        <v>0</v>
      </c>
      <c r="T715" s="2">
        <f t="shared" si="177"/>
        <v>0</v>
      </c>
      <c r="U715" s="2">
        <f t="shared" si="177"/>
        <v>0</v>
      </c>
    </row>
    <row r="716" spans="1:22" ht="25.2" customHeight="1" x14ac:dyDescent="0.3">
      <c r="A716" s="34" t="s">
        <v>1578</v>
      </c>
      <c r="B716" s="49" t="s">
        <v>813</v>
      </c>
      <c r="C716" s="2">
        <f>D716+L716+N716+P716+R716+S716+T716+U716</f>
        <v>10042208</v>
      </c>
      <c r="D716" s="3">
        <f>SUM(E716:J716)</f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3">
        <v>0</v>
      </c>
      <c r="L716" s="32">
        <v>0</v>
      </c>
      <c r="M716" s="32">
        <v>0</v>
      </c>
      <c r="N716" s="32">
        <v>0</v>
      </c>
      <c r="O716" s="32">
        <v>0</v>
      </c>
      <c r="P716" s="32">
        <v>0</v>
      </c>
      <c r="Q716" s="32">
        <v>3138.19</v>
      </c>
      <c r="R716" s="3">
        <f>Q716*3200</f>
        <v>10042208</v>
      </c>
      <c r="S716" s="32">
        <v>0</v>
      </c>
      <c r="T716" s="32">
        <v>0</v>
      </c>
      <c r="U716" s="32">
        <v>0</v>
      </c>
      <c r="V716" s="6" t="e">
        <f>N716/M716</f>
        <v>#DIV/0!</v>
      </c>
    </row>
    <row r="717" spans="1:22" s="6" customFormat="1" ht="25.2" customHeight="1" x14ac:dyDescent="0.3">
      <c r="A717" s="34" t="s">
        <v>1579</v>
      </c>
      <c r="B717" s="49" t="s">
        <v>71</v>
      </c>
      <c r="C717" s="2">
        <f>D717+L717+N717+P717+R717+S717+T717+U717</f>
        <v>4389990</v>
      </c>
      <c r="D717" s="3">
        <f>SUM(E717:J717)</f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3">
        <v>0</v>
      </c>
      <c r="L717" s="32">
        <v>0</v>
      </c>
      <c r="M717" s="32">
        <v>665.15</v>
      </c>
      <c r="N717" s="3">
        <f>M717*6600</f>
        <v>4389990</v>
      </c>
      <c r="O717" s="32">
        <v>0</v>
      </c>
      <c r="P717" s="32">
        <v>0</v>
      </c>
      <c r="Q717" s="32">
        <v>0</v>
      </c>
      <c r="R717" s="3">
        <f>Q717*3200</f>
        <v>0</v>
      </c>
      <c r="S717" s="32">
        <v>0</v>
      </c>
      <c r="T717" s="32">
        <v>0</v>
      </c>
      <c r="U717" s="32">
        <v>0</v>
      </c>
      <c r="V717" s="6">
        <f>N717/M717</f>
        <v>6600</v>
      </c>
    </row>
    <row r="718" spans="1:22" s="6" customFormat="1" ht="25.2" customHeight="1" x14ac:dyDescent="0.3">
      <c r="A718" s="34" t="s">
        <v>1580</v>
      </c>
      <c r="B718" s="49" t="s">
        <v>828</v>
      </c>
      <c r="C718" s="2">
        <f>D718+L718+N718+P718+R718+S718+T718+U718</f>
        <v>2811600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3">
        <v>0</v>
      </c>
      <c r="L718" s="32">
        <v>0</v>
      </c>
      <c r="M718" s="32">
        <v>426</v>
      </c>
      <c r="N718" s="3">
        <f>M718*6600</f>
        <v>2811600</v>
      </c>
      <c r="O718" s="32">
        <v>0</v>
      </c>
      <c r="P718" s="32">
        <v>0</v>
      </c>
      <c r="Q718" s="32">
        <v>0</v>
      </c>
      <c r="R718" s="3">
        <f>Q718*3200</f>
        <v>0</v>
      </c>
      <c r="S718" s="32">
        <v>0</v>
      </c>
      <c r="T718" s="32">
        <v>0</v>
      </c>
      <c r="U718" s="32">
        <v>0</v>
      </c>
      <c r="V718" s="6">
        <f>N718/M718</f>
        <v>6600</v>
      </c>
    </row>
    <row r="719" spans="1:22" ht="40.049999999999997" customHeight="1" x14ac:dyDescent="0.3">
      <c r="A719" s="45" t="s">
        <v>886</v>
      </c>
      <c r="B719" s="45"/>
      <c r="C719" s="2">
        <f t="shared" ref="C719:U719" si="178">SUM(C720)</f>
        <v>2162556</v>
      </c>
      <c r="D719" s="2">
        <f t="shared" si="178"/>
        <v>0</v>
      </c>
      <c r="E719" s="2">
        <f t="shared" si="178"/>
        <v>0</v>
      </c>
      <c r="F719" s="2">
        <f t="shared" si="178"/>
        <v>0</v>
      </c>
      <c r="G719" s="2">
        <f t="shared" si="178"/>
        <v>0</v>
      </c>
      <c r="H719" s="2">
        <f t="shared" si="178"/>
        <v>0</v>
      </c>
      <c r="I719" s="2">
        <f t="shared" si="178"/>
        <v>0</v>
      </c>
      <c r="J719" s="2">
        <f t="shared" si="178"/>
        <v>0</v>
      </c>
      <c r="K719" s="38">
        <f t="shared" si="178"/>
        <v>0</v>
      </c>
      <c r="L719" s="2">
        <f t="shared" si="178"/>
        <v>0</v>
      </c>
      <c r="M719" s="2">
        <f t="shared" si="178"/>
        <v>0</v>
      </c>
      <c r="N719" s="2">
        <f t="shared" si="178"/>
        <v>0</v>
      </c>
      <c r="O719" s="2">
        <f t="shared" si="178"/>
        <v>323.25</v>
      </c>
      <c r="P719" s="2">
        <f t="shared" si="178"/>
        <v>387900</v>
      </c>
      <c r="Q719" s="2">
        <f t="shared" si="178"/>
        <v>554.58000000000004</v>
      </c>
      <c r="R719" s="2">
        <f t="shared" si="178"/>
        <v>1774656.0000000002</v>
      </c>
      <c r="S719" s="2">
        <f t="shared" si="178"/>
        <v>0</v>
      </c>
      <c r="T719" s="2">
        <f t="shared" si="178"/>
        <v>0</v>
      </c>
      <c r="U719" s="2">
        <f t="shared" si="178"/>
        <v>0</v>
      </c>
      <c r="V719" s="44">
        <f>C719</f>
        <v>2162556</v>
      </c>
    </row>
    <row r="720" spans="1:22" ht="25.2" customHeight="1" x14ac:dyDescent="0.3">
      <c r="A720" s="46" t="s">
        <v>1581</v>
      </c>
      <c r="B720" s="49" t="s">
        <v>887</v>
      </c>
      <c r="C720" s="2">
        <f>D720+L720+N720+P720+R720+S720+T720+U720</f>
        <v>2162556</v>
      </c>
      <c r="D720" s="3">
        <f>SUM(E720:J720)</f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4">
        <v>0</v>
      </c>
      <c r="L720" s="3">
        <v>0</v>
      </c>
      <c r="M720" s="3">
        <v>0</v>
      </c>
      <c r="N720" s="3">
        <v>0</v>
      </c>
      <c r="O720" s="3">
        <v>323.25</v>
      </c>
      <c r="P720" s="3">
        <f>O720*1200</f>
        <v>387900</v>
      </c>
      <c r="Q720" s="3">
        <v>554.58000000000004</v>
      </c>
      <c r="R720" s="3">
        <f>Q720*3200</f>
        <v>1774656.0000000002</v>
      </c>
      <c r="S720" s="3">
        <v>0</v>
      </c>
      <c r="T720" s="3">
        <v>0</v>
      </c>
      <c r="U720" s="3">
        <v>0</v>
      </c>
      <c r="V720" s="6" t="e">
        <f>N720/M720</f>
        <v>#DIV/0!</v>
      </c>
    </row>
    <row r="721" spans="1:258" ht="40.049999999999997" customHeight="1" x14ac:dyDescent="0.3">
      <c r="A721" s="45" t="s">
        <v>2</v>
      </c>
      <c r="B721" s="45"/>
      <c r="C721" s="2">
        <f t="shared" ref="C721:U721" si="179">SUM(C722:C724)</f>
        <v>11886820.4</v>
      </c>
      <c r="D721" s="2">
        <f t="shared" si="179"/>
        <v>1234200</v>
      </c>
      <c r="E721" s="2">
        <f t="shared" si="179"/>
        <v>707840</v>
      </c>
      <c r="F721" s="2">
        <f t="shared" si="179"/>
        <v>0</v>
      </c>
      <c r="G721" s="2">
        <f t="shared" si="179"/>
        <v>0</v>
      </c>
      <c r="H721" s="2">
        <f t="shared" si="179"/>
        <v>0</v>
      </c>
      <c r="I721" s="2">
        <f t="shared" si="179"/>
        <v>526360</v>
      </c>
      <c r="J721" s="2">
        <f t="shared" si="179"/>
        <v>0</v>
      </c>
      <c r="K721" s="38">
        <f t="shared" si="179"/>
        <v>0</v>
      </c>
      <c r="L721" s="2">
        <f t="shared" si="179"/>
        <v>0</v>
      </c>
      <c r="M721" s="2">
        <f t="shared" si="179"/>
        <v>1198</v>
      </c>
      <c r="N721" s="2">
        <f t="shared" si="179"/>
        <v>7906800</v>
      </c>
      <c r="O721" s="2">
        <f t="shared" si="179"/>
        <v>0</v>
      </c>
      <c r="P721" s="2">
        <f t="shared" si="179"/>
        <v>0</v>
      </c>
      <c r="Q721" s="2">
        <f t="shared" si="179"/>
        <v>730</v>
      </c>
      <c r="R721" s="2">
        <f t="shared" si="179"/>
        <v>2336000</v>
      </c>
      <c r="S721" s="2">
        <f t="shared" si="179"/>
        <v>0</v>
      </c>
      <c r="T721" s="2">
        <f t="shared" si="179"/>
        <v>0</v>
      </c>
      <c r="U721" s="2">
        <f t="shared" si="179"/>
        <v>409820.4</v>
      </c>
    </row>
    <row r="722" spans="1:258" s="59" customFormat="1" ht="25.2" customHeight="1" x14ac:dyDescent="0.3">
      <c r="A722" s="34" t="s">
        <v>1582</v>
      </c>
      <c r="B722" s="49" t="s">
        <v>74</v>
      </c>
      <c r="C722" s="2">
        <f>D722+L722+N722+P722+R722+S722+T722+U722</f>
        <v>4741200</v>
      </c>
      <c r="D722" s="3">
        <f>SUM(E722:J722)</f>
        <v>1011200</v>
      </c>
      <c r="E722" s="3">
        <f>700*1011.2</f>
        <v>707840</v>
      </c>
      <c r="F722" s="3">
        <v>0</v>
      </c>
      <c r="G722" s="3">
        <v>0</v>
      </c>
      <c r="H722" s="3">
        <v>0</v>
      </c>
      <c r="I722" s="3">
        <f>300*1011.2</f>
        <v>303360</v>
      </c>
      <c r="J722" s="3">
        <f>350*0</f>
        <v>0</v>
      </c>
      <c r="K722" s="4">
        <v>0</v>
      </c>
      <c r="L722" s="3">
        <v>0</v>
      </c>
      <c r="M722" s="32">
        <v>550</v>
      </c>
      <c r="N722" s="32">
        <f>M722*6600</f>
        <v>3630000</v>
      </c>
      <c r="O722" s="3">
        <v>0</v>
      </c>
      <c r="P722" s="3">
        <v>0</v>
      </c>
      <c r="Q722" s="3">
        <v>0</v>
      </c>
      <c r="R722" s="3">
        <f>Q722*3200</f>
        <v>0</v>
      </c>
      <c r="S722" s="3">
        <v>0</v>
      </c>
      <c r="T722" s="3">
        <v>0</v>
      </c>
      <c r="U722" s="3">
        <v>100000</v>
      </c>
      <c r="V722" s="6">
        <f>N722/M722</f>
        <v>6600</v>
      </c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  <c r="DL722" s="7"/>
      <c r="DM722" s="7"/>
      <c r="DN722" s="7"/>
      <c r="DO722" s="7"/>
      <c r="DP722" s="7"/>
      <c r="DQ722" s="7"/>
      <c r="DR722" s="7"/>
      <c r="DS722" s="7"/>
      <c r="DT722" s="7"/>
      <c r="DU722" s="7"/>
      <c r="DV722" s="7"/>
      <c r="DW722" s="7"/>
      <c r="DX722" s="7"/>
      <c r="DY722" s="7"/>
      <c r="DZ722" s="7"/>
      <c r="EA722" s="7"/>
      <c r="EB722" s="7"/>
      <c r="EC722" s="7"/>
      <c r="ED722" s="7"/>
      <c r="EE722" s="7"/>
      <c r="EF722" s="7"/>
      <c r="EG722" s="7"/>
      <c r="EH722" s="7"/>
      <c r="EI722" s="7"/>
      <c r="EJ722" s="7"/>
      <c r="EK722" s="7"/>
      <c r="EL722" s="7"/>
      <c r="EM722" s="7"/>
      <c r="EN722" s="7"/>
      <c r="EO722" s="7"/>
      <c r="EP722" s="7"/>
      <c r="EQ722" s="7"/>
      <c r="ER722" s="7"/>
      <c r="ES722" s="7"/>
      <c r="ET722" s="7"/>
      <c r="EU722" s="7"/>
      <c r="EV722" s="7"/>
      <c r="EW722" s="7"/>
      <c r="EX722" s="7"/>
      <c r="EY722" s="7"/>
      <c r="EZ722" s="7"/>
      <c r="FA722" s="7"/>
      <c r="FB722" s="7"/>
      <c r="FC722" s="7"/>
      <c r="FD722" s="7"/>
      <c r="FE722" s="7"/>
      <c r="FF722" s="7"/>
      <c r="FG722" s="7"/>
      <c r="FH722" s="7"/>
      <c r="FI722" s="7"/>
      <c r="FJ722" s="7"/>
      <c r="FK722" s="7"/>
      <c r="FL722" s="7"/>
      <c r="FM722" s="7"/>
      <c r="FN722" s="7"/>
      <c r="FO722" s="7"/>
      <c r="FP722" s="7"/>
      <c r="FQ722" s="7"/>
      <c r="FR722" s="7"/>
      <c r="FS722" s="7"/>
      <c r="FT722" s="7"/>
      <c r="FU722" s="7"/>
      <c r="FV722" s="7"/>
      <c r="FW722" s="7"/>
      <c r="FX722" s="7"/>
      <c r="FY722" s="7"/>
      <c r="FZ722" s="7"/>
      <c r="GA722" s="7"/>
      <c r="GB722" s="7"/>
      <c r="GC722" s="7"/>
      <c r="GD722" s="7"/>
      <c r="GE722" s="7"/>
      <c r="GF722" s="7"/>
      <c r="GG722" s="7"/>
      <c r="GH722" s="7"/>
      <c r="GI722" s="7"/>
      <c r="GJ722" s="7"/>
      <c r="GK722" s="7"/>
      <c r="GL722" s="7"/>
      <c r="GM722" s="7"/>
      <c r="GN722" s="7"/>
      <c r="GO722" s="7"/>
      <c r="GP722" s="7"/>
      <c r="GQ722" s="7"/>
      <c r="GR722" s="7"/>
      <c r="GS722" s="7"/>
      <c r="GT722" s="7"/>
      <c r="GU722" s="7"/>
      <c r="GV722" s="7"/>
      <c r="GW722" s="7"/>
      <c r="GX722" s="7"/>
      <c r="GY722" s="7"/>
      <c r="GZ722" s="7"/>
      <c r="HA722" s="7"/>
      <c r="HB722" s="7"/>
      <c r="HC722" s="7"/>
      <c r="HD722" s="7"/>
      <c r="HE722" s="7"/>
      <c r="HF722" s="7"/>
      <c r="HG722" s="7"/>
      <c r="HH722" s="7"/>
      <c r="HI722" s="7"/>
      <c r="HJ722" s="7"/>
      <c r="HK722" s="7"/>
      <c r="HL722" s="7"/>
      <c r="HM722" s="7"/>
      <c r="HN722" s="7"/>
      <c r="HO722" s="7"/>
      <c r="HP722" s="7"/>
      <c r="HQ722" s="7"/>
      <c r="HR722" s="7"/>
      <c r="HS722" s="7"/>
      <c r="HT722" s="7"/>
      <c r="HU722" s="7"/>
      <c r="HV722" s="7"/>
      <c r="HW722" s="7"/>
      <c r="HX722" s="7"/>
      <c r="HY722" s="7"/>
      <c r="HZ722" s="7"/>
      <c r="IA722" s="7"/>
      <c r="IB722" s="7"/>
      <c r="IC722" s="7"/>
      <c r="ID722" s="7"/>
      <c r="IE722" s="7"/>
      <c r="IF722" s="7"/>
      <c r="IG722" s="7"/>
      <c r="IH722" s="7"/>
      <c r="II722" s="7"/>
      <c r="IJ722" s="7"/>
      <c r="IK722" s="7"/>
      <c r="IL722" s="7"/>
      <c r="IM722" s="7"/>
      <c r="IN722" s="7"/>
      <c r="IO722" s="7"/>
      <c r="IP722" s="7"/>
      <c r="IQ722" s="7"/>
      <c r="IR722" s="7"/>
      <c r="IS722" s="7"/>
      <c r="IT722" s="7"/>
      <c r="IU722" s="7"/>
      <c r="IV722" s="7"/>
      <c r="IW722" s="7"/>
      <c r="IX722" s="7"/>
    </row>
    <row r="723" spans="1:258" ht="25.2" customHeight="1" x14ac:dyDescent="0.3">
      <c r="A723" s="34" t="s">
        <v>1583</v>
      </c>
      <c r="B723" s="49" t="s">
        <v>76</v>
      </c>
      <c r="C723" s="2">
        <f>D723+L723+N723+P723+R723+S723+T723+U723</f>
        <v>7035800</v>
      </c>
      <c r="D723" s="3">
        <f>SUM(E723:J723)</f>
        <v>223000</v>
      </c>
      <c r="E723" s="3">
        <v>0</v>
      </c>
      <c r="F723" s="3">
        <f>800*0</f>
        <v>0</v>
      </c>
      <c r="G723" s="3">
        <v>0</v>
      </c>
      <c r="H723" s="3">
        <f>400*0</f>
        <v>0</v>
      </c>
      <c r="I723" s="3">
        <f>250*892</f>
        <v>223000</v>
      </c>
      <c r="J723" s="3">
        <f>350*0</f>
        <v>0</v>
      </c>
      <c r="K723" s="4">
        <v>0</v>
      </c>
      <c r="L723" s="3">
        <v>0</v>
      </c>
      <c r="M723" s="32">
        <v>648</v>
      </c>
      <c r="N723" s="3">
        <f>M723*6600</f>
        <v>4276800</v>
      </c>
      <c r="O723" s="3">
        <v>0</v>
      </c>
      <c r="P723" s="3">
        <v>0</v>
      </c>
      <c r="Q723" s="3">
        <v>730</v>
      </c>
      <c r="R723" s="3">
        <f>Q723*3200</f>
        <v>2336000</v>
      </c>
      <c r="S723" s="32">
        <v>0</v>
      </c>
      <c r="T723" s="3">
        <v>0</v>
      </c>
      <c r="U723" s="3">
        <v>200000</v>
      </c>
      <c r="V723" s="6">
        <f>N723/M723</f>
        <v>6600</v>
      </c>
    </row>
    <row r="724" spans="1:258" ht="25.2" customHeight="1" x14ac:dyDescent="0.3">
      <c r="A724" s="34" t="s">
        <v>1584</v>
      </c>
      <c r="B724" s="49" t="s">
        <v>75</v>
      </c>
      <c r="C724" s="2">
        <f>D724+L724+N724+P724+R724+S724+T724+U724</f>
        <v>109820.4</v>
      </c>
      <c r="D724" s="3">
        <f>SUM(E724:J724)</f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f>350*0</f>
        <v>0</v>
      </c>
      <c r="K724" s="33">
        <v>0</v>
      </c>
      <c r="L724" s="32">
        <v>0</v>
      </c>
      <c r="M724" s="32">
        <v>0</v>
      </c>
      <c r="N724" s="32">
        <v>0</v>
      </c>
      <c r="O724" s="32">
        <v>0</v>
      </c>
      <c r="P724" s="32">
        <v>0</v>
      </c>
      <c r="Q724" s="32">
        <v>0</v>
      </c>
      <c r="R724" s="3">
        <f>Q724*3200</f>
        <v>0</v>
      </c>
      <c r="S724" s="32">
        <v>0</v>
      </c>
      <c r="T724" s="3">
        <v>0</v>
      </c>
      <c r="U724" s="32">
        <v>109820.4</v>
      </c>
      <c r="V724" s="6" t="e">
        <f>N724/M724</f>
        <v>#DIV/0!</v>
      </c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6"/>
      <c r="EB724" s="6"/>
      <c r="EC724" s="6"/>
      <c r="ED724" s="6"/>
      <c r="EE724" s="6"/>
      <c r="EF724" s="6"/>
      <c r="EG724" s="6"/>
      <c r="EH724" s="6"/>
      <c r="EI724" s="6"/>
      <c r="EJ724" s="6"/>
      <c r="EK724" s="6"/>
      <c r="EL724" s="6"/>
      <c r="EM724" s="6"/>
      <c r="EN724" s="6"/>
      <c r="EO724" s="6"/>
      <c r="EP724" s="6"/>
      <c r="EQ724" s="6"/>
      <c r="ER724" s="6"/>
      <c r="ES724" s="6"/>
      <c r="ET724" s="6"/>
      <c r="EU724" s="6"/>
      <c r="EV724" s="6"/>
      <c r="EW724" s="6"/>
      <c r="EX724" s="6"/>
      <c r="EY724" s="6"/>
      <c r="EZ724" s="6"/>
      <c r="FA724" s="6"/>
      <c r="FB724" s="6"/>
      <c r="FC724" s="6"/>
      <c r="FD724" s="6"/>
      <c r="FE724" s="6"/>
      <c r="FF724" s="6"/>
      <c r="FG724" s="6"/>
      <c r="FH724" s="6"/>
      <c r="FI724" s="6"/>
      <c r="FJ724" s="6"/>
      <c r="FK724" s="6"/>
      <c r="FL724" s="6"/>
      <c r="FM724" s="6"/>
      <c r="FN724" s="6"/>
      <c r="FO724" s="6"/>
      <c r="FP724" s="6"/>
      <c r="FQ724" s="6"/>
      <c r="FR724" s="6"/>
      <c r="FS724" s="6"/>
      <c r="FT724" s="6"/>
      <c r="FU724" s="6"/>
      <c r="FV724" s="6"/>
      <c r="FW724" s="6"/>
      <c r="FX724" s="6"/>
      <c r="FY724" s="6"/>
      <c r="FZ724" s="6"/>
      <c r="GA724" s="6"/>
      <c r="GB724" s="6"/>
      <c r="GC724" s="6"/>
      <c r="GD724" s="6"/>
      <c r="GE724" s="6"/>
      <c r="GF724" s="6"/>
      <c r="GG724" s="6"/>
      <c r="GH724" s="6"/>
      <c r="GI724" s="6"/>
      <c r="GJ724" s="6"/>
      <c r="GK724" s="6"/>
      <c r="GL724" s="6"/>
      <c r="GM724" s="6"/>
      <c r="GN724" s="6"/>
      <c r="GO724" s="6"/>
      <c r="GP724" s="6"/>
      <c r="GQ724" s="6"/>
      <c r="GR724" s="6"/>
      <c r="GS724" s="6"/>
      <c r="GT724" s="6"/>
      <c r="GU724" s="6"/>
      <c r="GV724" s="6"/>
      <c r="GW724" s="6"/>
      <c r="GX724" s="6"/>
      <c r="GY724" s="6"/>
      <c r="GZ724" s="6"/>
      <c r="HA724" s="6"/>
      <c r="HB724" s="6"/>
      <c r="HC724" s="6"/>
      <c r="HD724" s="6"/>
      <c r="HE724" s="6"/>
      <c r="HF724" s="6"/>
      <c r="HG724" s="6"/>
      <c r="HH724" s="6"/>
      <c r="HI724" s="6"/>
      <c r="HJ724" s="6"/>
      <c r="HK724" s="6"/>
      <c r="HL724" s="6"/>
      <c r="HM724" s="6"/>
      <c r="HN724" s="6"/>
      <c r="HO724" s="6"/>
      <c r="HP724" s="6"/>
      <c r="HQ724" s="6"/>
      <c r="HR724" s="6"/>
      <c r="HS724" s="6"/>
      <c r="HT724" s="6"/>
      <c r="HU724" s="6"/>
      <c r="HV724" s="6"/>
      <c r="HW724" s="6"/>
      <c r="HX724" s="6"/>
      <c r="HY724" s="6"/>
      <c r="HZ724" s="6"/>
      <c r="IA724" s="6"/>
      <c r="IB724" s="6"/>
      <c r="IC724" s="6"/>
      <c r="ID724" s="6"/>
      <c r="IE724" s="6"/>
      <c r="IF724" s="6"/>
      <c r="IG724" s="6"/>
      <c r="IH724" s="6"/>
      <c r="II724" s="6"/>
      <c r="IJ724" s="6"/>
      <c r="IK724" s="6"/>
      <c r="IL724" s="6"/>
      <c r="IM724" s="6"/>
      <c r="IN724" s="6"/>
      <c r="IO724" s="6"/>
      <c r="IP724" s="6"/>
      <c r="IQ724" s="6"/>
      <c r="IR724" s="6"/>
      <c r="IS724" s="6"/>
      <c r="IT724" s="6"/>
      <c r="IU724" s="6"/>
      <c r="IV724" s="6"/>
      <c r="IW724" s="6"/>
      <c r="IX724" s="6"/>
    </row>
    <row r="725" spans="1:258" ht="45" customHeight="1" x14ac:dyDescent="0.3">
      <c r="A725" s="45" t="s">
        <v>80</v>
      </c>
      <c r="B725" s="45"/>
      <c r="C725" s="2">
        <f t="shared" ref="C725:U725" si="180">SUM(C726:C726)</f>
        <v>1363200</v>
      </c>
      <c r="D725" s="2">
        <f t="shared" si="180"/>
        <v>0</v>
      </c>
      <c r="E725" s="2">
        <f t="shared" si="180"/>
        <v>0</v>
      </c>
      <c r="F725" s="2">
        <f t="shared" si="180"/>
        <v>0</v>
      </c>
      <c r="G725" s="2">
        <f t="shared" si="180"/>
        <v>0</v>
      </c>
      <c r="H725" s="2">
        <f t="shared" si="180"/>
        <v>0</v>
      </c>
      <c r="I725" s="2">
        <f t="shared" si="180"/>
        <v>0</v>
      </c>
      <c r="J725" s="2">
        <f t="shared" si="180"/>
        <v>0</v>
      </c>
      <c r="K725" s="38">
        <f t="shared" si="180"/>
        <v>0</v>
      </c>
      <c r="L725" s="2">
        <f t="shared" si="180"/>
        <v>0</v>
      </c>
      <c r="M725" s="2">
        <f t="shared" si="180"/>
        <v>0</v>
      </c>
      <c r="N725" s="2">
        <f t="shared" si="180"/>
        <v>0</v>
      </c>
      <c r="O725" s="2">
        <f t="shared" si="180"/>
        <v>0</v>
      </c>
      <c r="P725" s="2">
        <f t="shared" si="180"/>
        <v>0</v>
      </c>
      <c r="Q725" s="2">
        <f t="shared" si="180"/>
        <v>426</v>
      </c>
      <c r="R725" s="2">
        <f t="shared" si="180"/>
        <v>1363200</v>
      </c>
      <c r="S725" s="2">
        <f t="shared" si="180"/>
        <v>0</v>
      </c>
      <c r="T725" s="2">
        <f t="shared" si="180"/>
        <v>0</v>
      </c>
      <c r="U725" s="2">
        <f t="shared" si="180"/>
        <v>0</v>
      </c>
    </row>
    <row r="726" spans="1:258" ht="25.2" customHeight="1" x14ac:dyDescent="0.3">
      <c r="A726" s="46" t="s">
        <v>1585</v>
      </c>
      <c r="B726" s="1" t="s">
        <v>81</v>
      </c>
      <c r="C726" s="2">
        <f>D726+L726+N726+P726+R726+S726+T726+U726</f>
        <v>1363200</v>
      </c>
      <c r="D726" s="3">
        <f>SUM(E726:J726)</f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f>350*0</f>
        <v>0</v>
      </c>
      <c r="K726" s="33">
        <v>0</v>
      </c>
      <c r="L726" s="32">
        <v>0</v>
      </c>
      <c r="M726" s="32">
        <v>0</v>
      </c>
      <c r="N726" s="32">
        <v>0</v>
      </c>
      <c r="O726" s="32">
        <v>0</v>
      </c>
      <c r="P726" s="32">
        <v>0</v>
      </c>
      <c r="Q726" s="32">
        <v>426</v>
      </c>
      <c r="R726" s="3">
        <f>Q726*3200</f>
        <v>1363200</v>
      </c>
      <c r="S726" s="32">
        <v>0</v>
      </c>
      <c r="T726" s="32">
        <v>0</v>
      </c>
      <c r="U726" s="32">
        <v>0</v>
      </c>
      <c r="V726" s="6" t="e">
        <f>N726/M726</f>
        <v>#DIV/0!</v>
      </c>
    </row>
    <row r="727" spans="1:258" ht="45" customHeight="1" x14ac:dyDescent="0.3">
      <c r="A727" s="45" t="s">
        <v>792</v>
      </c>
      <c r="B727" s="45"/>
      <c r="C727" s="2">
        <f t="shared" ref="C727:U727" si="181">SUM(C728:C732)</f>
        <v>19377024</v>
      </c>
      <c r="D727" s="2">
        <f t="shared" si="181"/>
        <v>1897534</v>
      </c>
      <c r="E727" s="2">
        <f t="shared" si="181"/>
        <v>1142386</v>
      </c>
      <c r="F727" s="2">
        <f t="shared" si="181"/>
        <v>0</v>
      </c>
      <c r="G727" s="2">
        <f t="shared" si="181"/>
        <v>265554</v>
      </c>
      <c r="H727" s="2">
        <f t="shared" si="181"/>
        <v>0</v>
      </c>
      <c r="I727" s="2">
        <f t="shared" si="181"/>
        <v>489594</v>
      </c>
      <c r="J727" s="2">
        <f t="shared" si="181"/>
        <v>0</v>
      </c>
      <c r="K727" s="38">
        <f t="shared" si="181"/>
        <v>0</v>
      </c>
      <c r="L727" s="2">
        <f t="shared" si="181"/>
        <v>0</v>
      </c>
      <c r="M727" s="2">
        <f t="shared" si="181"/>
        <v>2552.5</v>
      </c>
      <c r="N727" s="2">
        <f t="shared" si="181"/>
        <v>15137250</v>
      </c>
      <c r="O727" s="2">
        <f t="shared" si="181"/>
        <v>0</v>
      </c>
      <c r="P727" s="2">
        <f t="shared" si="181"/>
        <v>0</v>
      </c>
      <c r="Q727" s="2">
        <f t="shared" si="181"/>
        <v>638.20000000000005</v>
      </c>
      <c r="R727" s="2">
        <f t="shared" si="181"/>
        <v>2042240.0000000002</v>
      </c>
      <c r="S727" s="2">
        <f t="shared" si="181"/>
        <v>0</v>
      </c>
      <c r="T727" s="2">
        <f t="shared" si="181"/>
        <v>0</v>
      </c>
      <c r="U727" s="2">
        <f t="shared" si="181"/>
        <v>300000</v>
      </c>
    </row>
    <row r="728" spans="1:258" ht="25.2" customHeight="1" x14ac:dyDescent="0.3">
      <c r="A728" s="46" t="s">
        <v>1586</v>
      </c>
      <c r="B728" s="49" t="s">
        <v>82</v>
      </c>
      <c r="C728" s="2">
        <f>D728+L728+N728+P728+R728+S728+T728+U728</f>
        <v>2532320</v>
      </c>
      <c r="D728" s="3">
        <f>SUM(E728:J728)</f>
        <v>509080</v>
      </c>
      <c r="E728" s="3">
        <f>700*391.6</f>
        <v>274120</v>
      </c>
      <c r="F728" s="3">
        <v>0</v>
      </c>
      <c r="G728" s="3">
        <f>300*391.6</f>
        <v>117480</v>
      </c>
      <c r="H728" s="3">
        <v>0</v>
      </c>
      <c r="I728" s="3">
        <f>300*391.6</f>
        <v>117480</v>
      </c>
      <c r="J728" s="3">
        <f>350*0</f>
        <v>0</v>
      </c>
      <c r="K728" s="4">
        <v>0</v>
      </c>
      <c r="L728" s="3">
        <v>0</v>
      </c>
      <c r="M728" s="32">
        <v>291.39999999999998</v>
      </c>
      <c r="N728" s="3">
        <f>M728*6600</f>
        <v>1923239.9999999998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100000</v>
      </c>
      <c r="V728" s="6">
        <f>N728/M728</f>
        <v>6600</v>
      </c>
    </row>
    <row r="729" spans="1:258" ht="25.2" customHeight="1" x14ac:dyDescent="0.3">
      <c r="A729" s="46" t="s">
        <v>1969</v>
      </c>
      <c r="B729" s="49" t="s">
        <v>827</v>
      </c>
      <c r="C729" s="2">
        <f>D729+L729+N729+P729+R729+S729+T729+U729</f>
        <v>6215440</v>
      </c>
      <c r="D729" s="3">
        <f>SUM(E729:J729)</f>
        <v>746800</v>
      </c>
      <c r="E729" s="3">
        <f>700*746.8</f>
        <v>522759.99999999994</v>
      </c>
      <c r="F729" s="3">
        <v>0</v>
      </c>
      <c r="G729" s="3">
        <v>0</v>
      </c>
      <c r="H729" s="3">
        <v>0</v>
      </c>
      <c r="I729" s="3">
        <f>300*746.8</f>
        <v>224040</v>
      </c>
      <c r="J729" s="3">
        <v>0</v>
      </c>
      <c r="K729" s="4">
        <v>0</v>
      </c>
      <c r="L729" s="3">
        <v>0</v>
      </c>
      <c r="M729" s="32">
        <v>504</v>
      </c>
      <c r="N729" s="3">
        <f>M729*6600</f>
        <v>3326400</v>
      </c>
      <c r="O729" s="3">
        <v>0</v>
      </c>
      <c r="P729" s="3">
        <v>0</v>
      </c>
      <c r="Q729" s="3">
        <v>638.20000000000005</v>
      </c>
      <c r="R729" s="3">
        <f>Q729*3200</f>
        <v>2042240.0000000002</v>
      </c>
      <c r="S729" s="3">
        <v>0</v>
      </c>
      <c r="T729" s="3">
        <v>0</v>
      </c>
      <c r="U729" s="3">
        <v>100000</v>
      </c>
      <c r="V729" s="6">
        <f>N729/M729</f>
        <v>6600</v>
      </c>
    </row>
    <row r="730" spans="1:258" ht="25.2" customHeight="1" x14ac:dyDescent="0.3">
      <c r="A730" s="46" t="s">
        <v>1970</v>
      </c>
      <c r="B730" s="49" t="s">
        <v>83</v>
      </c>
      <c r="C730" s="2">
        <f>D730+L730+N730+P730+R730+S730+T730+U730</f>
        <v>2940774</v>
      </c>
      <c r="D730" s="3">
        <f>SUM(E730:J730)</f>
        <v>641654</v>
      </c>
      <c r="E730" s="3">
        <f>700*493.58</f>
        <v>345506</v>
      </c>
      <c r="F730" s="3">
        <v>0</v>
      </c>
      <c r="G730" s="3">
        <f>300*493.58</f>
        <v>148074</v>
      </c>
      <c r="H730" s="3">
        <v>0</v>
      </c>
      <c r="I730" s="3">
        <f>300*493.58</f>
        <v>148074</v>
      </c>
      <c r="J730" s="3">
        <v>0</v>
      </c>
      <c r="K730" s="4">
        <v>0</v>
      </c>
      <c r="L730" s="3">
        <v>0</v>
      </c>
      <c r="M730" s="32">
        <v>333.2</v>
      </c>
      <c r="N730" s="3">
        <f>M730*6600</f>
        <v>2199120</v>
      </c>
      <c r="O730" s="3">
        <v>0</v>
      </c>
      <c r="P730" s="3">
        <v>0</v>
      </c>
      <c r="Q730" s="3">
        <v>0</v>
      </c>
      <c r="R730" s="3">
        <f>Q730*3200</f>
        <v>0</v>
      </c>
      <c r="S730" s="3">
        <v>0</v>
      </c>
      <c r="T730" s="3">
        <v>0</v>
      </c>
      <c r="U730" s="3">
        <v>100000</v>
      </c>
      <c r="V730" s="6">
        <f>N730/M730</f>
        <v>6600</v>
      </c>
    </row>
    <row r="731" spans="1:258" ht="25.2" customHeight="1" x14ac:dyDescent="0.3">
      <c r="A731" s="46" t="s">
        <v>1587</v>
      </c>
      <c r="B731" s="49" t="s">
        <v>85</v>
      </c>
      <c r="C731" s="2">
        <f>D731+L731+N731+P731+R731+S731+T731+U731</f>
        <v>3537750</v>
      </c>
      <c r="D731" s="3">
        <f>SUM(E731:J731)</f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4">
        <v>0</v>
      </c>
      <c r="L731" s="3">
        <v>0</v>
      </c>
      <c r="M731" s="3">
        <v>795</v>
      </c>
      <c r="N731" s="48">
        <f>M731*4450</f>
        <v>3537750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6">
        <f>N731/M731</f>
        <v>4450</v>
      </c>
    </row>
    <row r="732" spans="1:258" ht="25.2" customHeight="1" x14ac:dyDescent="0.3">
      <c r="A732" s="46" t="s">
        <v>1588</v>
      </c>
      <c r="B732" s="49" t="s">
        <v>86</v>
      </c>
      <c r="C732" s="2">
        <f>D732+L732+N732+P732+R732+S732+T732+U732</f>
        <v>4150740</v>
      </c>
      <c r="D732" s="3">
        <f>SUM(E732:J732)</f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4">
        <v>0</v>
      </c>
      <c r="L732" s="3">
        <v>0</v>
      </c>
      <c r="M732" s="3">
        <v>628.9</v>
      </c>
      <c r="N732" s="3">
        <f>M732*6600</f>
        <v>4150740</v>
      </c>
      <c r="O732" s="3">
        <v>0</v>
      </c>
      <c r="P732" s="3">
        <v>0</v>
      </c>
      <c r="Q732" s="3">
        <v>0</v>
      </c>
      <c r="R732" s="3">
        <f>Q732*3200</f>
        <v>0</v>
      </c>
      <c r="S732" s="3">
        <v>0</v>
      </c>
      <c r="T732" s="3">
        <v>0</v>
      </c>
      <c r="U732" s="3">
        <v>0</v>
      </c>
      <c r="V732" s="6">
        <f>N732/M732</f>
        <v>6600</v>
      </c>
    </row>
    <row r="733" spans="1:258" ht="45" customHeight="1" x14ac:dyDescent="0.3">
      <c r="A733" s="45" t="s">
        <v>89</v>
      </c>
      <c r="B733" s="45"/>
      <c r="C733" s="2">
        <f t="shared" ref="C733:U733" si="182">SUM(C734)</f>
        <v>2958786</v>
      </c>
      <c r="D733" s="2">
        <f t="shared" si="182"/>
        <v>345506</v>
      </c>
      <c r="E733" s="2">
        <f t="shared" si="182"/>
        <v>345506</v>
      </c>
      <c r="F733" s="2">
        <f t="shared" si="182"/>
        <v>0</v>
      </c>
      <c r="G733" s="2">
        <f t="shared" si="182"/>
        <v>0</v>
      </c>
      <c r="H733" s="2">
        <f t="shared" si="182"/>
        <v>0</v>
      </c>
      <c r="I733" s="2">
        <f t="shared" si="182"/>
        <v>0</v>
      </c>
      <c r="J733" s="2">
        <f t="shared" si="182"/>
        <v>0</v>
      </c>
      <c r="K733" s="38">
        <f t="shared" si="182"/>
        <v>0</v>
      </c>
      <c r="L733" s="2">
        <f t="shared" si="182"/>
        <v>0</v>
      </c>
      <c r="M733" s="2">
        <f t="shared" si="182"/>
        <v>380.8</v>
      </c>
      <c r="N733" s="2">
        <f t="shared" si="182"/>
        <v>2513280</v>
      </c>
      <c r="O733" s="2">
        <f t="shared" si="182"/>
        <v>0</v>
      </c>
      <c r="P733" s="2">
        <f t="shared" si="182"/>
        <v>0</v>
      </c>
      <c r="Q733" s="2">
        <f t="shared" si="182"/>
        <v>0</v>
      </c>
      <c r="R733" s="2">
        <f t="shared" si="182"/>
        <v>0</v>
      </c>
      <c r="S733" s="2">
        <f t="shared" si="182"/>
        <v>0</v>
      </c>
      <c r="T733" s="2">
        <f t="shared" si="182"/>
        <v>0</v>
      </c>
      <c r="U733" s="2">
        <f t="shared" si="182"/>
        <v>100000</v>
      </c>
      <c r="V733" s="44">
        <f>C733</f>
        <v>2958786</v>
      </c>
    </row>
    <row r="734" spans="1:258" ht="25.2" customHeight="1" x14ac:dyDescent="0.3">
      <c r="A734" s="46" t="s">
        <v>1589</v>
      </c>
      <c r="B734" s="1" t="s">
        <v>88</v>
      </c>
      <c r="C734" s="2">
        <f>D734+L734+N734+P734+R734+S734+T734+U734</f>
        <v>2958786</v>
      </c>
      <c r="D734" s="3">
        <f>SUM(E734:J734)</f>
        <v>345506</v>
      </c>
      <c r="E734" s="3">
        <f>700*493.58</f>
        <v>345506</v>
      </c>
      <c r="F734" s="3">
        <v>0</v>
      </c>
      <c r="G734" s="3">
        <v>0</v>
      </c>
      <c r="H734" s="3">
        <f>400*0</f>
        <v>0</v>
      </c>
      <c r="I734" s="3">
        <v>0</v>
      </c>
      <c r="J734" s="3">
        <f>350*0</f>
        <v>0</v>
      </c>
      <c r="K734" s="4">
        <v>0</v>
      </c>
      <c r="L734" s="3">
        <v>0</v>
      </c>
      <c r="M734" s="32">
        <v>380.8</v>
      </c>
      <c r="N734" s="3">
        <f>M734*6600</f>
        <v>2513280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100000</v>
      </c>
      <c r="V734" s="6">
        <f>N734/M734</f>
        <v>6600</v>
      </c>
    </row>
    <row r="735" spans="1:258" ht="40.049999999999997" customHeight="1" x14ac:dyDescent="0.3">
      <c r="A735" s="45" t="s">
        <v>799</v>
      </c>
      <c r="B735" s="45"/>
      <c r="C735" s="2">
        <f t="shared" ref="C735:U735" si="183">SUM(C736)</f>
        <v>5144200</v>
      </c>
      <c r="D735" s="2">
        <f t="shared" si="183"/>
        <v>0</v>
      </c>
      <c r="E735" s="2">
        <f t="shared" si="183"/>
        <v>0</v>
      </c>
      <c r="F735" s="2">
        <f t="shared" si="183"/>
        <v>0</v>
      </c>
      <c r="G735" s="2">
        <f t="shared" si="183"/>
        <v>0</v>
      </c>
      <c r="H735" s="2">
        <f t="shared" si="183"/>
        <v>0</v>
      </c>
      <c r="I735" s="2">
        <f t="shared" si="183"/>
        <v>0</v>
      </c>
      <c r="J735" s="2">
        <f t="shared" si="183"/>
        <v>0</v>
      </c>
      <c r="K735" s="38">
        <f t="shared" si="183"/>
        <v>0</v>
      </c>
      <c r="L735" s="2">
        <f t="shared" si="183"/>
        <v>0</v>
      </c>
      <c r="M735" s="2">
        <f t="shared" si="183"/>
        <v>1156</v>
      </c>
      <c r="N735" s="2">
        <f t="shared" si="183"/>
        <v>5144200</v>
      </c>
      <c r="O735" s="2">
        <f t="shared" si="183"/>
        <v>0</v>
      </c>
      <c r="P735" s="2">
        <f t="shared" si="183"/>
        <v>0</v>
      </c>
      <c r="Q735" s="2">
        <f t="shared" si="183"/>
        <v>0</v>
      </c>
      <c r="R735" s="2">
        <f t="shared" si="183"/>
        <v>0</v>
      </c>
      <c r="S735" s="2">
        <f t="shared" si="183"/>
        <v>0</v>
      </c>
      <c r="T735" s="2">
        <f t="shared" si="183"/>
        <v>0</v>
      </c>
      <c r="U735" s="2">
        <f t="shared" si="183"/>
        <v>0</v>
      </c>
      <c r="V735" s="44">
        <f>C735</f>
        <v>5144200</v>
      </c>
    </row>
    <row r="736" spans="1:258" ht="25.2" customHeight="1" x14ac:dyDescent="0.3">
      <c r="A736" s="46" t="s">
        <v>1590</v>
      </c>
      <c r="B736" s="49" t="s">
        <v>800</v>
      </c>
      <c r="C736" s="2">
        <f>D736+L736+N736+P736+R736+S736+T736+U736</f>
        <v>5144200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32">
        <v>1156</v>
      </c>
      <c r="N736" s="3">
        <f>M736*4450</f>
        <v>5144200</v>
      </c>
      <c r="O736" s="3">
        <v>0</v>
      </c>
      <c r="P736" s="3">
        <v>0</v>
      </c>
      <c r="Q736" s="3">
        <v>0</v>
      </c>
      <c r="R736" s="3">
        <f>Q736*3200</f>
        <v>0</v>
      </c>
      <c r="S736" s="3">
        <v>0</v>
      </c>
      <c r="T736" s="3">
        <v>0</v>
      </c>
      <c r="U736" s="3">
        <v>0</v>
      </c>
      <c r="V736" s="6">
        <f>N736/M736</f>
        <v>4450</v>
      </c>
    </row>
    <row r="737" spans="1:22" ht="40.049999999999997" customHeight="1" x14ac:dyDescent="0.3">
      <c r="A737" s="45" t="s">
        <v>90</v>
      </c>
      <c r="B737" s="45"/>
      <c r="C737" s="2">
        <f t="shared" ref="C737:U737" si="184">SUM(C738:C740)</f>
        <v>7324954.7999999998</v>
      </c>
      <c r="D737" s="2">
        <f t="shared" si="184"/>
        <v>1324954.8</v>
      </c>
      <c r="E737" s="2">
        <f t="shared" si="184"/>
        <v>0</v>
      </c>
      <c r="F737" s="2">
        <f t="shared" si="184"/>
        <v>1324954.8</v>
      </c>
      <c r="G737" s="2">
        <f t="shared" si="184"/>
        <v>0</v>
      </c>
      <c r="H737" s="2">
        <f t="shared" si="184"/>
        <v>0</v>
      </c>
      <c r="I737" s="2">
        <f t="shared" si="184"/>
        <v>0</v>
      </c>
      <c r="J737" s="2">
        <f t="shared" si="184"/>
        <v>0</v>
      </c>
      <c r="K737" s="38">
        <f t="shared" si="184"/>
        <v>2</v>
      </c>
      <c r="L737" s="2">
        <f t="shared" si="184"/>
        <v>5600000</v>
      </c>
      <c r="M737" s="2">
        <f t="shared" si="184"/>
        <v>0</v>
      </c>
      <c r="N737" s="2">
        <f t="shared" si="184"/>
        <v>0</v>
      </c>
      <c r="O737" s="2">
        <f t="shared" si="184"/>
        <v>0</v>
      </c>
      <c r="P737" s="2">
        <f t="shared" si="184"/>
        <v>0</v>
      </c>
      <c r="Q737" s="2">
        <f t="shared" si="184"/>
        <v>0</v>
      </c>
      <c r="R737" s="2">
        <f t="shared" si="184"/>
        <v>0</v>
      </c>
      <c r="S737" s="2">
        <f t="shared" si="184"/>
        <v>0</v>
      </c>
      <c r="T737" s="2">
        <f t="shared" si="184"/>
        <v>0</v>
      </c>
      <c r="U737" s="2">
        <f t="shared" si="184"/>
        <v>400000</v>
      </c>
    </row>
    <row r="738" spans="1:22" ht="25.2" customHeight="1" x14ac:dyDescent="0.3">
      <c r="A738" s="46" t="s">
        <v>1591</v>
      </c>
      <c r="B738" s="49" t="s">
        <v>94</v>
      </c>
      <c r="C738" s="2">
        <f>D738+L738+N738+P738+R738+S738+T738+U738</f>
        <v>3000000</v>
      </c>
      <c r="D738" s="3">
        <f>SUM(E738:J738)</f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1</v>
      </c>
      <c r="L738" s="3">
        <v>2800000</v>
      </c>
      <c r="M738" s="32">
        <v>0</v>
      </c>
      <c r="N738" s="32">
        <v>0</v>
      </c>
      <c r="O738" s="3">
        <v>0</v>
      </c>
      <c r="P738" s="3">
        <v>0</v>
      </c>
      <c r="Q738" s="3">
        <v>0</v>
      </c>
      <c r="R738" s="3">
        <f>Q738*3200</f>
        <v>0</v>
      </c>
      <c r="S738" s="3">
        <v>0</v>
      </c>
      <c r="T738" s="3">
        <v>0</v>
      </c>
      <c r="U738" s="3">
        <v>200000</v>
      </c>
      <c r="V738" s="6" t="e">
        <f>N738/M738</f>
        <v>#DIV/0!</v>
      </c>
    </row>
    <row r="739" spans="1:22" ht="25.2" customHeight="1" x14ac:dyDescent="0.3">
      <c r="A739" s="46" t="s">
        <v>1592</v>
      </c>
      <c r="B739" s="49" t="s">
        <v>920</v>
      </c>
      <c r="C739" s="2">
        <f>D739+L739+N739+P739+R739+S739+T739+U739</f>
        <v>1324954.8</v>
      </c>
      <c r="D739" s="3">
        <f>SUM(E739:J739)</f>
        <v>1324954.8</v>
      </c>
      <c r="E739" s="3">
        <v>0</v>
      </c>
      <c r="F739" s="3">
        <v>1324954.8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32">
        <v>0</v>
      </c>
      <c r="N739" s="32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6" t="e">
        <f>N739/M739</f>
        <v>#DIV/0!</v>
      </c>
    </row>
    <row r="740" spans="1:22" ht="25.2" customHeight="1" x14ac:dyDescent="0.3">
      <c r="A740" s="46" t="s">
        <v>1593</v>
      </c>
      <c r="B740" s="49" t="s">
        <v>98</v>
      </c>
      <c r="C740" s="2">
        <f>D740+L740+N740+P740+R740+S740+T740+U740</f>
        <v>3000000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1</v>
      </c>
      <c r="L740" s="3">
        <v>2800000</v>
      </c>
      <c r="M740" s="32">
        <v>0</v>
      </c>
      <c r="N740" s="32">
        <v>0</v>
      </c>
      <c r="O740" s="3">
        <v>0</v>
      </c>
      <c r="P740" s="3">
        <v>0</v>
      </c>
      <c r="Q740" s="3">
        <v>0</v>
      </c>
      <c r="R740" s="3">
        <f>Q740*3200</f>
        <v>0</v>
      </c>
      <c r="S740" s="3">
        <v>0</v>
      </c>
      <c r="T740" s="3">
        <v>0</v>
      </c>
      <c r="U740" s="3">
        <v>200000</v>
      </c>
      <c r="V740" s="6" t="e">
        <f>N740/M740</f>
        <v>#DIV/0!</v>
      </c>
    </row>
    <row r="741" spans="1:22" ht="40.049999999999997" customHeight="1" x14ac:dyDescent="0.3">
      <c r="A741" s="45" t="s">
        <v>99</v>
      </c>
      <c r="B741" s="45"/>
      <c r="C741" s="2">
        <f t="shared" ref="C741:U741" si="185">SUM(C742:C745)</f>
        <v>18093312.399999999</v>
      </c>
      <c r="D741" s="2">
        <f t="shared" si="185"/>
        <v>0</v>
      </c>
      <c r="E741" s="2">
        <f t="shared" si="185"/>
        <v>0</v>
      </c>
      <c r="F741" s="2">
        <f t="shared" si="185"/>
        <v>0</v>
      </c>
      <c r="G741" s="2">
        <f t="shared" si="185"/>
        <v>0</v>
      </c>
      <c r="H741" s="2">
        <f t="shared" si="185"/>
        <v>0</v>
      </c>
      <c r="I741" s="2">
        <f t="shared" si="185"/>
        <v>0</v>
      </c>
      <c r="J741" s="2">
        <f t="shared" si="185"/>
        <v>0</v>
      </c>
      <c r="K741" s="38">
        <f t="shared" si="185"/>
        <v>0</v>
      </c>
      <c r="L741" s="2">
        <f t="shared" si="185"/>
        <v>0</v>
      </c>
      <c r="M741" s="2">
        <f t="shared" si="185"/>
        <v>3128.77</v>
      </c>
      <c r="N741" s="2">
        <f t="shared" si="185"/>
        <v>18093312.399999999</v>
      </c>
      <c r="O741" s="2">
        <f t="shared" si="185"/>
        <v>0</v>
      </c>
      <c r="P741" s="2">
        <f t="shared" si="185"/>
        <v>0</v>
      </c>
      <c r="Q741" s="2">
        <f t="shared" si="185"/>
        <v>0</v>
      </c>
      <c r="R741" s="2">
        <f t="shared" si="185"/>
        <v>0</v>
      </c>
      <c r="S741" s="2">
        <f t="shared" si="185"/>
        <v>0</v>
      </c>
      <c r="T741" s="2">
        <f t="shared" si="185"/>
        <v>0</v>
      </c>
      <c r="U741" s="2">
        <f t="shared" si="185"/>
        <v>0</v>
      </c>
    </row>
    <row r="742" spans="1:22" ht="25.2" customHeight="1" x14ac:dyDescent="0.3">
      <c r="A742" s="46" t="s">
        <v>1594</v>
      </c>
      <c r="B742" s="49" t="s">
        <v>101</v>
      </c>
      <c r="C742" s="2">
        <f>D742+L742+N742+P742+R742+S742+T742+U742</f>
        <v>4435200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32">
        <v>672</v>
      </c>
      <c r="N742" s="3">
        <f>M742*6600</f>
        <v>4435200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0</v>
      </c>
      <c r="V742" s="6">
        <f>N742/M742</f>
        <v>6600</v>
      </c>
    </row>
    <row r="743" spans="1:22" ht="24.6" customHeight="1" x14ac:dyDescent="0.3">
      <c r="A743" s="46" t="s">
        <v>1595</v>
      </c>
      <c r="B743" s="49" t="s">
        <v>103</v>
      </c>
      <c r="C743" s="2">
        <f>D743+L743+N743+P743+R743+S743+T743+U743</f>
        <v>5060880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32">
        <v>766.8</v>
      </c>
      <c r="N743" s="3">
        <f>M743*6600</f>
        <v>5060880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0</v>
      </c>
      <c r="V743" s="6">
        <f>N743/M743</f>
        <v>6600</v>
      </c>
    </row>
    <row r="744" spans="1:22" ht="25.2" customHeight="1" x14ac:dyDescent="0.3">
      <c r="A744" s="46" t="s">
        <v>1596</v>
      </c>
      <c r="B744" s="49" t="s">
        <v>106</v>
      </c>
      <c r="C744" s="2">
        <f>D744+L744+N744+P744+R744+S744+T744+U744</f>
        <v>3728042.4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4">
        <v>0</v>
      </c>
      <c r="L744" s="3">
        <v>0</v>
      </c>
      <c r="M744" s="32">
        <v>595.77</v>
      </c>
      <c r="N744" s="3">
        <v>3728042.4</v>
      </c>
      <c r="O744" s="3">
        <v>0</v>
      </c>
      <c r="P744" s="3">
        <v>0</v>
      </c>
      <c r="Q744" s="3">
        <v>0</v>
      </c>
      <c r="R744" s="3">
        <f>Q744*3200</f>
        <v>0</v>
      </c>
      <c r="S744" s="3">
        <v>0</v>
      </c>
      <c r="T744" s="3">
        <v>0</v>
      </c>
      <c r="U744" s="3">
        <v>0</v>
      </c>
      <c r="V744" s="6">
        <f>N744/M744</f>
        <v>6257.5195125635728</v>
      </c>
    </row>
    <row r="745" spans="1:22" ht="25.2" customHeight="1" x14ac:dyDescent="0.3">
      <c r="A745" s="46" t="s">
        <v>1597</v>
      </c>
      <c r="B745" s="49" t="s">
        <v>104</v>
      </c>
      <c r="C745" s="2">
        <f>D745+L745+N745+P745+R745+S745+T745+U745</f>
        <v>4869190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32">
        <v>1094.2</v>
      </c>
      <c r="N745" s="3">
        <f>M745*4450</f>
        <v>4869190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0</v>
      </c>
      <c r="V745" s="6">
        <f>N745/M745</f>
        <v>4450</v>
      </c>
    </row>
    <row r="746" spans="1:22" ht="40.049999999999997" customHeight="1" x14ac:dyDescent="0.3">
      <c r="A746" s="45" t="s">
        <v>113</v>
      </c>
      <c r="B746" s="45"/>
      <c r="C746" s="2">
        <f t="shared" ref="C746:U746" si="186">SUM(C747)</f>
        <v>2381200</v>
      </c>
      <c r="D746" s="2">
        <f t="shared" si="186"/>
        <v>0</v>
      </c>
      <c r="E746" s="2">
        <f t="shared" si="186"/>
        <v>0</v>
      </c>
      <c r="F746" s="2">
        <f t="shared" si="186"/>
        <v>0</v>
      </c>
      <c r="G746" s="2">
        <f t="shared" si="186"/>
        <v>0</v>
      </c>
      <c r="H746" s="2">
        <f t="shared" si="186"/>
        <v>0</v>
      </c>
      <c r="I746" s="2">
        <f t="shared" si="186"/>
        <v>0</v>
      </c>
      <c r="J746" s="2">
        <f t="shared" si="186"/>
        <v>0</v>
      </c>
      <c r="K746" s="38">
        <f t="shared" si="186"/>
        <v>0</v>
      </c>
      <c r="L746" s="2">
        <f t="shared" si="186"/>
        <v>0</v>
      </c>
      <c r="M746" s="2">
        <f t="shared" si="186"/>
        <v>232</v>
      </c>
      <c r="N746" s="2">
        <f t="shared" si="186"/>
        <v>1531200</v>
      </c>
      <c r="O746" s="2">
        <f t="shared" si="186"/>
        <v>0</v>
      </c>
      <c r="P746" s="2">
        <f t="shared" si="186"/>
        <v>0</v>
      </c>
      <c r="Q746" s="2">
        <f t="shared" si="186"/>
        <v>0</v>
      </c>
      <c r="R746" s="2">
        <f t="shared" si="186"/>
        <v>0</v>
      </c>
      <c r="S746" s="2">
        <f t="shared" si="186"/>
        <v>0</v>
      </c>
      <c r="T746" s="2">
        <f t="shared" si="186"/>
        <v>0</v>
      </c>
      <c r="U746" s="2">
        <f t="shared" si="186"/>
        <v>850000</v>
      </c>
    </row>
    <row r="747" spans="1:22" ht="25.2" customHeight="1" x14ac:dyDescent="0.3">
      <c r="A747" s="34" t="s">
        <v>1598</v>
      </c>
      <c r="B747" s="49" t="s">
        <v>114</v>
      </c>
      <c r="C747" s="2">
        <f>D747+L747+N747+P747+R747+S747+T747+U747</f>
        <v>2381200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33">
        <v>0</v>
      </c>
      <c r="L747" s="32">
        <v>0</v>
      </c>
      <c r="M747" s="32">
        <v>232</v>
      </c>
      <c r="N747" s="3">
        <f>M747*6600</f>
        <v>1531200</v>
      </c>
      <c r="O747" s="32">
        <v>0</v>
      </c>
      <c r="P747" s="32">
        <v>0</v>
      </c>
      <c r="Q747" s="32">
        <v>0</v>
      </c>
      <c r="R747" s="3">
        <f>Q747*3200</f>
        <v>0</v>
      </c>
      <c r="S747" s="32">
        <v>0</v>
      </c>
      <c r="T747" s="32">
        <v>0</v>
      </c>
      <c r="U747" s="32">
        <v>850000</v>
      </c>
      <c r="V747" s="6">
        <f>N747/M747</f>
        <v>6600</v>
      </c>
    </row>
    <row r="748" spans="1:22" ht="40.049999999999997" customHeight="1" x14ac:dyDescent="0.3">
      <c r="A748" s="45" t="s">
        <v>906</v>
      </c>
      <c r="B748" s="45"/>
      <c r="C748" s="2">
        <f t="shared" ref="C748:U748" si="187">SUM(C749:C753)</f>
        <v>29195437.199999999</v>
      </c>
      <c r="D748" s="2">
        <f t="shared" si="187"/>
        <v>3543120</v>
      </c>
      <c r="E748" s="2">
        <f t="shared" si="187"/>
        <v>826728</v>
      </c>
      <c r="F748" s="2">
        <f t="shared" si="187"/>
        <v>1535352</v>
      </c>
      <c r="G748" s="2">
        <f t="shared" si="187"/>
        <v>354312</v>
      </c>
      <c r="H748" s="2">
        <f t="shared" si="187"/>
        <v>472416</v>
      </c>
      <c r="I748" s="2">
        <f t="shared" si="187"/>
        <v>354312</v>
      </c>
      <c r="J748" s="2">
        <f t="shared" si="187"/>
        <v>0</v>
      </c>
      <c r="K748" s="38">
        <f t="shared" si="187"/>
        <v>0</v>
      </c>
      <c r="L748" s="2">
        <f t="shared" si="187"/>
        <v>0</v>
      </c>
      <c r="M748" s="2">
        <f t="shared" si="187"/>
        <v>5370.7</v>
      </c>
      <c r="N748" s="2">
        <f t="shared" si="187"/>
        <v>25524999</v>
      </c>
      <c r="O748" s="2">
        <f t="shared" si="187"/>
        <v>0</v>
      </c>
      <c r="P748" s="2">
        <f t="shared" si="187"/>
        <v>0</v>
      </c>
      <c r="Q748" s="2">
        <f t="shared" si="187"/>
        <v>0</v>
      </c>
      <c r="R748" s="2">
        <f t="shared" si="187"/>
        <v>0</v>
      </c>
      <c r="S748" s="2">
        <f t="shared" si="187"/>
        <v>0</v>
      </c>
      <c r="T748" s="2">
        <f t="shared" si="187"/>
        <v>0</v>
      </c>
      <c r="U748" s="2">
        <f t="shared" si="187"/>
        <v>127318.2</v>
      </c>
      <c r="V748" s="44">
        <f>C748+C1323</f>
        <v>29195437.199999999</v>
      </c>
    </row>
    <row r="749" spans="1:22" ht="25.2" customHeight="1" x14ac:dyDescent="0.3">
      <c r="A749" s="46" t="s">
        <v>1599</v>
      </c>
      <c r="B749" s="49" t="s">
        <v>907</v>
      </c>
      <c r="C749" s="2">
        <f>D749+L749+N749+P749+R749+S749+T749+U749</f>
        <v>6474750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32">
        <v>1455</v>
      </c>
      <c r="N749" s="32">
        <f>M749*4450</f>
        <v>6474750</v>
      </c>
      <c r="O749" s="32">
        <v>0</v>
      </c>
      <c r="P749" s="32">
        <v>0</v>
      </c>
      <c r="Q749" s="32">
        <v>0</v>
      </c>
      <c r="R749" s="3">
        <f>Q749*3200</f>
        <v>0</v>
      </c>
      <c r="S749" s="32">
        <v>0</v>
      </c>
      <c r="T749" s="32">
        <v>0</v>
      </c>
      <c r="U749" s="32">
        <v>0</v>
      </c>
      <c r="V749" s="6">
        <f>N749/M749</f>
        <v>4450</v>
      </c>
    </row>
    <row r="750" spans="1:22" ht="25.2" customHeight="1" x14ac:dyDescent="0.3">
      <c r="A750" s="46" t="s">
        <v>1600</v>
      </c>
      <c r="B750" s="49" t="s">
        <v>985</v>
      </c>
      <c r="C750" s="2">
        <f>D750+L750+N750+P750+R750+S750+T750+U750</f>
        <v>5140884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0</v>
      </c>
      <c r="L750" s="3">
        <v>0</v>
      </c>
      <c r="M750" s="32">
        <v>790</v>
      </c>
      <c r="N750" s="32">
        <v>5140884</v>
      </c>
      <c r="O750" s="32">
        <v>0</v>
      </c>
      <c r="P750" s="32">
        <v>0</v>
      </c>
      <c r="Q750" s="32">
        <v>0</v>
      </c>
      <c r="R750" s="3">
        <f>Q750*3200</f>
        <v>0</v>
      </c>
      <c r="S750" s="32">
        <v>0</v>
      </c>
      <c r="T750" s="32">
        <v>0</v>
      </c>
      <c r="U750" s="32">
        <v>0</v>
      </c>
    </row>
    <row r="751" spans="1:22" ht="25.2" customHeight="1" x14ac:dyDescent="0.3">
      <c r="A751" s="46" t="s">
        <v>1601</v>
      </c>
      <c r="B751" s="49" t="s">
        <v>986</v>
      </c>
      <c r="C751" s="2">
        <f>D751+L751+N751+P751+R751+S751+T751+U751</f>
        <v>3670438.2</v>
      </c>
      <c r="D751" s="3">
        <f>SUM(E751:J751)</f>
        <v>3543120</v>
      </c>
      <c r="E751" s="3">
        <f>700*1181.04</f>
        <v>826728</v>
      </c>
      <c r="F751" s="3">
        <f>1300*1181.04</f>
        <v>1535352</v>
      </c>
      <c r="G751" s="3">
        <f>300*1181.04</f>
        <v>354312</v>
      </c>
      <c r="H751" s="3">
        <f>400*1181.04</f>
        <v>472416</v>
      </c>
      <c r="I751" s="3">
        <f>300*1181.04</f>
        <v>354312</v>
      </c>
      <c r="J751" s="3">
        <v>0</v>
      </c>
      <c r="K751" s="4">
        <v>0</v>
      </c>
      <c r="L751" s="3">
        <v>0</v>
      </c>
      <c r="M751" s="32">
        <v>0</v>
      </c>
      <c r="N751" s="32">
        <v>0</v>
      </c>
      <c r="O751" s="32">
        <v>0</v>
      </c>
      <c r="P751" s="32">
        <v>0</v>
      </c>
      <c r="Q751" s="32">
        <v>0</v>
      </c>
      <c r="R751" s="3">
        <f>Q751*3200</f>
        <v>0</v>
      </c>
      <c r="S751" s="32">
        <v>0</v>
      </c>
      <c r="T751" s="32">
        <v>0</v>
      </c>
      <c r="U751" s="32">
        <v>127318.2</v>
      </c>
    </row>
    <row r="752" spans="1:22" ht="25.2" customHeight="1" x14ac:dyDescent="0.3">
      <c r="A752" s="46" t="s">
        <v>1602</v>
      </c>
      <c r="B752" s="49" t="s">
        <v>908</v>
      </c>
      <c r="C752" s="2">
        <f>D752+L752+N752+P752+R752+S752+T752+U752</f>
        <v>6474750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32">
        <v>1455</v>
      </c>
      <c r="N752" s="32">
        <f>M752*4450</f>
        <v>6474750</v>
      </c>
      <c r="O752" s="32">
        <v>0</v>
      </c>
      <c r="P752" s="32">
        <v>0</v>
      </c>
      <c r="Q752" s="32">
        <v>0</v>
      </c>
      <c r="R752" s="3">
        <f>Q752*3200</f>
        <v>0</v>
      </c>
      <c r="S752" s="32">
        <v>0</v>
      </c>
      <c r="T752" s="32">
        <v>0</v>
      </c>
      <c r="U752" s="32">
        <v>0</v>
      </c>
      <c r="V752" s="6">
        <f>N752/M752</f>
        <v>4450</v>
      </c>
    </row>
    <row r="753" spans="1:22" ht="25.2" customHeight="1" x14ac:dyDescent="0.3">
      <c r="A753" s="46" t="s">
        <v>1603</v>
      </c>
      <c r="B753" s="49" t="s">
        <v>909</v>
      </c>
      <c r="C753" s="2">
        <f>D753+L753+N753+P753+R753+S753+T753+U753</f>
        <v>7434615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32">
        <v>1670.7</v>
      </c>
      <c r="N753" s="32">
        <f>M753*4450</f>
        <v>7434615</v>
      </c>
      <c r="O753" s="32">
        <v>0</v>
      </c>
      <c r="P753" s="32">
        <v>0</v>
      </c>
      <c r="Q753" s="32">
        <v>0</v>
      </c>
      <c r="R753" s="3">
        <f>Q753*3200</f>
        <v>0</v>
      </c>
      <c r="S753" s="32">
        <v>0</v>
      </c>
      <c r="T753" s="32">
        <v>0</v>
      </c>
      <c r="U753" s="32">
        <v>0</v>
      </c>
      <c r="V753" s="6">
        <f>N753/M753</f>
        <v>4450</v>
      </c>
    </row>
    <row r="754" spans="1:22" ht="40.049999999999997" customHeight="1" x14ac:dyDescent="0.3">
      <c r="A754" s="45" t="s">
        <v>904</v>
      </c>
      <c r="B754" s="45"/>
      <c r="C754" s="2">
        <f t="shared" ref="C754:U754" si="188">SUM(C755)</f>
        <v>659260</v>
      </c>
      <c r="D754" s="2">
        <f t="shared" si="188"/>
        <v>559260</v>
      </c>
      <c r="E754" s="2">
        <f t="shared" si="188"/>
        <v>301140</v>
      </c>
      <c r="F754" s="2">
        <f t="shared" si="188"/>
        <v>0</v>
      </c>
      <c r="G754" s="2">
        <f t="shared" si="188"/>
        <v>129060</v>
      </c>
      <c r="H754" s="2">
        <f t="shared" si="188"/>
        <v>0</v>
      </c>
      <c r="I754" s="2">
        <f t="shared" si="188"/>
        <v>129060</v>
      </c>
      <c r="J754" s="2">
        <f t="shared" si="188"/>
        <v>0</v>
      </c>
      <c r="K754" s="38">
        <f t="shared" si="188"/>
        <v>0</v>
      </c>
      <c r="L754" s="2">
        <f t="shared" si="188"/>
        <v>0</v>
      </c>
      <c r="M754" s="2">
        <f t="shared" si="188"/>
        <v>0</v>
      </c>
      <c r="N754" s="2">
        <f t="shared" si="188"/>
        <v>0</v>
      </c>
      <c r="O754" s="2">
        <f t="shared" si="188"/>
        <v>0</v>
      </c>
      <c r="P754" s="2">
        <f t="shared" si="188"/>
        <v>0</v>
      </c>
      <c r="Q754" s="2">
        <f t="shared" si="188"/>
        <v>0</v>
      </c>
      <c r="R754" s="2">
        <f t="shared" si="188"/>
        <v>0</v>
      </c>
      <c r="S754" s="2">
        <f t="shared" si="188"/>
        <v>0</v>
      </c>
      <c r="T754" s="2">
        <f t="shared" si="188"/>
        <v>0</v>
      </c>
      <c r="U754" s="2">
        <f t="shared" si="188"/>
        <v>100000</v>
      </c>
      <c r="V754" s="44">
        <f>C754+C1321</f>
        <v>659260</v>
      </c>
    </row>
    <row r="755" spans="1:22" ht="25.2" customHeight="1" x14ac:dyDescent="0.3">
      <c r="A755" s="46" t="s">
        <v>1604</v>
      </c>
      <c r="B755" s="49" t="s">
        <v>905</v>
      </c>
      <c r="C755" s="2">
        <f>D755+L755+N755+P755+R755+S755+T755+U755</f>
        <v>659260</v>
      </c>
      <c r="D755" s="3">
        <f>SUM(E755:J755)</f>
        <v>559260</v>
      </c>
      <c r="E755" s="3">
        <f>700*430.2</f>
        <v>301140</v>
      </c>
      <c r="F755" s="3">
        <v>0</v>
      </c>
      <c r="G755" s="3">
        <f>300*430.2</f>
        <v>129060</v>
      </c>
      <c r="H755" s="3">
        <v>0</v>
      </c>
      <c r="I755" s="3">
        <f>300*430.2</f>
        <v>129060</v>
      </c>
      <c r="J755" s="3">
        <v>0</v>
      </c>
      <c r="K755" s="4">
        <v>0</v>
      </c>
      <c r="L755" s="3">
        <v>0</v>
      </c>
      <c r="M755" s="32">
        <v>0</v>
      </c>
      <c r="N755" s="32">
        <v>0</v>
      </c>
      <c r="O755" s="32">
        <v>0</v>
      </c>
      <c r="P755" s="32">
        <v>0</v>
      </c>
      <c r="Q755" s="32">
        <v>0</v>
      </c>
      <c r="R755" s="3">
        <f>Q755*3200</f>
        <v>0</v>
      </c>
      <c r="S755" s="32">
        <v>0</v>
      </c>
      <c r="T755" s="32">
        <v>0</v>
      </c>
      <c r="U755" s="32">
        <v>100000</v>
      </c>
      <c r="V755" s="6" t="e">
        <f>N755/M755</f>
        <v>#DIV/0!</v>
      </c>
    </row>
    <row r="756" spans="1:22" ht="40.049999999999997" customHeight="1" x14ac:dyDescent="0.3">
      <c r="A756" s="45" t="s">
        <v>121</v>
      </c>
      <c r="B756" s="45"/>
      <c r="C756" s="2">
        <f t="shared" ref="C756:U756" si="189">SUM(C757:C761)</f>
        <v>12012310</v>
      </c>
      <c r="D756" s="2">
        <f t="shared" si="189"/>
        <v>0</v>
      </c>
      <c r="E756" s="2">
        <f t="shared" si="189"/>
        <v>0</v>
      </c>
      <c r="F756" s="2">
        <f t="shared" si="189"/>
        <v>0</v>
      </c>
      <c r="G756" s="2">
        <f t="shared" si="189"/>
        <v>0</v>
      </c>
      <c r="H756" s="2">
        <f t="shared" si="189"/>
        <v>0</v>
      </c>
      <c r="I756" s="2">
        <f t="shared" si="189"/>
        <v>0</v>
      </c>
      <c r="J756" s="2">
        <f t="shared" si="189"/>
        <v>0</v>
      </c>
      <c r="K756" s="38">
        <f t="shared" si="189"/>
        <v>0</v>
      </c>
      <c r="L756" s="2">
        <f t="shared" si="189"/>
        <v>0</v>
      </c>
      <c r="M756" s="2">
        <f t="shared" si="189"/>
        <v>1600.35</v>
      </c>
      <c r="N756" s="2">
        <f t="shared" si="189"/>
        <v>10562310</v>
      </c>
      <c r="O756" s="2">
        <f t="shared" si="189"/>
        <v>0</v>
      </c>
      <c r="P756" s="2">
        <f t="shared" si="189"/>
        <v>0</v>
      </c>
      <c r="Q756" s="2">
        <f t="shared" si="189"/>
        <v>0</v>
      </c>
      <c r="R756" s="2">
        <f t="shared" si="189"/>
        <v>0</v>
      </c>
      <c r="S756" s="2">
        <f t="shared" si="189"/>
        <v>0</v>
      </c>
      <c r="T756" s="2">
        <f t="shared" si="189"/>
        <v>0</v>
      </c>
      <c r="U756" s="2">
        <f t="shared" si="189"/>
        <v>1450000</v>
      </c>
    </row>
    <row r="757" spans="1:22" ht="25.2" customHeight="1" x14ac:dyDescent="0.3">
      <c r="A757" s="46" t="s">
        <v>1605</v>
      </c>
      <c r="B757" s="1" t="s">
        <v>116</v>
      </c>
      <c r="C757" s="2">
        <f>D757+L757+N757+P757+R757+S757+T757+U757</f>
        <v>5514960</v>
      </c>
      <c r="D757" s="3">
        <f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32">
        <v>835.6</v>
      </c>
      <c r="N757" s="3">
        <f>M757*6600</f>
        <v>5514960</v>
      </c>
      <c r="O757" s="3">
        <v>0</v>
      </c>
      <c r="P757" s="3">
        <v>0</v>
      </c>
      <c r="Q757" s="3">
        <v>0</v>
      </c>
      <c r="R757" s="3">
        <f>Q757*3200</f>
        <v>0</v>
      </c>
      <c r="S757" s="3">
        <v>0</v>
      </c>
      <c r="T757" s="3">
        <v>0</v>
      </c>
      <c r="U757" s="3">
        <v>0</v>
      </c>
      <c r="V757" s="6">
        <f>N757/M757</f>
        <v>6600</v>
      </c>
    </row>
    <row r="758" spans="1:22" ht="25.2" customHeight="1" x14ac:dyDescent="0.3">
      <c r="A758" s="46" t="s">
        <v>1606</v>
      </c>
      <c r="B758" s="1" t="s">
        <v>117</v>
      </c>
      <c r="C758" s="2">
        <f>D758+L758+N758+P758+R758+S758+T758+U758</f>
        <v>1937100</v>
      </c>
      <c r="D758" s="3">
        <f>SUM(E758:J758)</f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32">
        <v>293.5</v>
      </c>
      <c r="N758" s="3">
        <f>M758*6600</f>
        <v>1937100</v>
      </c>
      <c r="O758" s="3">
        <v>0</v>
      </c>
      <c r="P758" s="3">
        <v>0</v>
      </c>
      <c r="Q758" s="3">
        <v>0</v>
      </c>
      <c r="R758" s="3">
        <f>Q758*3200</f>
        <v>0</v>
      </c>
      <c r="S758" s="3">
        <v>0</v>
      </c>
      <c r="T758" s="3">
        <v>0</v>
      </c>
      <c r="U758" s="3">
        <v>0</v>
      </c>
      <c r="V758" s="6">
        <f>N758/M758</f>
        <v>6600</v>
      </c>
    </row>
    <row r="759" spans="1:22" ht="25.2" customHeight="1" x14ac:dyDescent="0.3">
      <c r="A759" s="46" t="s">
        <v>1607</v>
      </c>
      <c r="B759" s="1" t="s">
        <v>119</v>
      </c>
      <c r="C759" s="2">
        <f>D759+L759+N759+P759+R759+S759+T759+U759</f>
        <v>3960250</v>
      </c>
      <c r="D759" s="3">
        <f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3">
        <v>0</v>
      </c>
      <c r="L759" s="32">
        <v>0</v>
      </c>
      <c r="M759" s="32">
        <v>471.25</v>
      </c>
      <c r="N759" s="32">
        <f>M759*6600</f>
        <v>3110250</v>
      </c>
      <c r="O759" s="32">
        <v>0</v>
      </c>
      <c r="P759" s="32">
        <v>0</v>
      </c>
      <c r="Q759" s="32">
        <v>0</v>
      </c>
      <c r="R759" s="32">
        <v>0</v>
      </c>
      <c r="S759" s="32">
        <v>0</v>
      </c>
      <c r="T759" s="32">
        <v>0</v>
      </c>
      <c r="U759" s="32">
        <v>850000</v>
      </c>
      <c r="V759" s="6">
        <f>N759/M759</f>
        <v>6600</v>
      </c>
    </row>
    <row r="760" spans="1:22" ht="25.2" customHeight="1" x14ac:dyDescent="0.3">
      <c r="A760" s="46" t="s">
        <v>1608</v>
      </c>
      <c r="B760" s="1" t="s">
        <v>1179</v>
      </c>
      <c r="C760" s="2">
        <f>D760+L760+N760+P760+R760+S760+T760+U760</f>
        <v>300000</v>
      </c>
      <c r="D760" s="3">
        <f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32">
        <v>0</v>
      </c>
      <c r="N760" s="3">
        <v>0</v>
      </c>
      <c r="O760" s="3">
        <v>0</v>
      </c>
      <c r="P760" s="3">
        <v>0</v>
      </c>
      <c r="Q760" s="3">
        <v>0</v>
      </c>
      <c r="R760" s="3">
        <f>Q760*3200</f>
        <v>0</v>
      </c>
      <c r="S760" s="3">
        <v>0</v>
      </c>
      <c r="T760" s="3">
        <v>0</v>
      </c>
      <c r="U760" s="3">
        <v>300000</v>
      </c>
    </row>
    <row r="761" spans="1:22" ht="25.2" customHeight="1" x14ac:dyDescent="0.3">
      <c r="A761" s="46" t="s">
        <v>1609</v>
      </c>
      <c r="B761" s="1" t="s">
        <v>989</v>
      </c>
      <c r="C761" s="2">
        <f>D761+L761+N761+P761+R761+S761+T761+U761</f>
        <v>300000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32">
        <v>0</v>
      </c>
      <c r="N761" s="3">
        <v>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300000</v>
      </c>
    </row>
    <row r="762" spans="1:22" ht="40.049999999999997" customHeight="1" x14ac:dyDescent="0.3">
      <c r="A762" s="45" t="s">
        <v>124</v>
      </c>
      <c r="B762" s="45"/>
      <c r="C762" s="2">
        <f t="shared" ref="C762:U762" si="190">SUM(C763)</f>
        <v>2389200</v>
      </c>
      <c r="D762" s="2">
        <f t="shared" si="190"/>
        <v>0</v>
      </c>
      <c r="E762" s="2">
        <f t="shared" si="190"/>
        <v>0</v>
      </c>
      <c r="F762" s="2">
        <f t="shared" si="190"/>
        <v>0</v>
      </c>
      <c r="G762" s="2">
        <f t="shared" si="190"/>
        <v>0</v>
      </c>
      <c r="H762" s="2">
        <f t="shared" si="190"/>
        <v>0</v>
      </c>
      <c r="I762" s="2">
        <f t="shared" si="190"/>
        <v>0</v>
      </c>
      <c r="J762" s="2">
        <f t="shared" si="190"/>
        <v>0</v>
      </c>
      <c r="K762" s="38">
        <f t="shared" si="190"/>
        <v>0</v>
      </c>
      <c r="L762" s="2">
        <f t="shared" si="190"/>
        <v>0</v>
      </c>
      <c r="M762" s="2">
        <f t="shared" si="190"/>
        <v>362</v>
      </c>
      <c r="N762" s="2">
        <f t="shared" si="190"/>
        <v>2389200</v>
      </c>
      <c r="O762" s="2">
        <f t="shared" si="190"/>
        <v>0</v>
      </c>
      <c r="P762" s="2">
        <f t="shared" si="190"/>
        <v>0</v>
      </c>
      <c r="Q762" s="2">
        <f t="shared" si="190"/>
        <v>0</v>
      </c>
      <c r="R762" s="2">
        <f t="shared" si="190"/>
        <v>0</v>
      </c>
      <c r="S762" s="2">
        <f t="shared" si="190"/>
        <v>0</v>
      </c>
      <c r="T762" s="2">
        <f t="shared" si="190"/>
        <v>0</v>
      </c>
      <c r="U762" s="2">
        <f t="shared" si="190"/>
        <v>0</v>
      </c>
    </row>
    <row r="763" spans="1:22" ht="25.2" customHeight="1" x14ac:dyDescent="0.3">
      <c r="A763" s="46" t="s">
        <v>1610</v>
      </c>
      <c r="B763" s="55" t="s">
        <v>123</v>
      </c>
      <c r="C763" s="2">
        <f>D763+L763+N763+P763+R763+S763+T763+U763</f>
        <v>2389200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362</v>
      </c>
      <c r="N763" s="3">
        <f>M763*6600</f>
        <v>2389200</v>
      </c>
      <c r="O763" s="3">
        <v>0</v>
      </c>
      <c r="P763" s="3">
        <v>0</v>
      </c>
      <c r="Q763" s="3">
        <v>0</v>
      </c>
      <c r="R763" s="3">
        <f>Q763*3200</f>
        <v>0</v>
      </c>
      <c r="S763" s="3">
        <v>0</v>
      </c>
      <c r="T763" s="3">
        <v>0</v>
      </c>
      <c r="U763" s="3">
        <v>0</v>
      </c>
      <c r="V763" s="6">
        <f>N763/M763</f>
        <v>6600</v>
      </c>
    </row>
    <row r="764" spans="1:22" ht="40.049999999999997" customHeight="1" x14ac:dyDescent="0.3">
      <c r="A764" s="45" t="s">
        <v>845</v>
      </c>
      <c r="B764" s="45"/>
      <c r="C764" s="2">
        <f t="shared" ref="C764:U764" si="191">SUM(C765)</f>
        <v>11811440</v>
      </c>
      <c r="D764" s="2">
        <f t="shared" si="191"/>
        <v>3330000</v>
      </c>
      <c r="E764" s="2">
        <f t="shared" si="191"/>
        <v>777000</v>
      </c>
      <c r="F764" s="2">
        <f t="shared" si="191"/>
        <v>1443000</v>
      </c>
      <c r="G764" s="2">
        <f t="shared" si="191"/>
        <v>333000</v>
      </c>
      <c r="H764" s="2">
        <f t="shared" si="191"/>
        <v>444000</v>
      </c>
      <c r="I764" s="2">
        <f t="shared" si="191"/>
        <v>333000</v>
      </c>
      <c r="J764" s="2">
        <f t="shared" si="191"/>
        <v>0</v>
      </c>
      <c r="K764" s="38">
        <f t="shared" si="191"/>
        <v>0</v>
      </c>
      <c r="L764" s="2">
        <f t="shared" si="191"/>
        <v>0</v>
      </c>
      <c r="M764" s="2">
        <f t="shared" si="191"/>
        <v>780</v>
      </c>
      <c r="N764" s="2">
        <f t="shared" si="191"/>
        <v>5148000</v>
      </c>
      <c r="O764" s="2">
        <f t="shared" si="191"/>
        <v>0</v>
      </c>
      <c r="P764" s="2">
        <f t="shared" si="191"/>
        <v>0</v>
      </c>
      <c r="Q764" s="2">
        <f t="shared" si="191"/>
        <v>820</v>
      </c>
      <c r="R764" s="2">
        <f t="shared" si="191"/>
        <v>2624000</v>
      </c>
      <c r="S764" s="2">
        <f t="shared" si="191"/>
        <v>409440</v>
      </c>
      <c r="T764" s="2">
        <f t="shared" si="191"/>
        <v>0</v>
      </c>
      <c r="U764" s="2">
        <f t="shared" si="191"/>
        <v>300000</v>
      </c>
      <c r="V764" s="44">
        <f>C764</f>
        <v>11811440</v>
      </c>
    </row>
    <row r="765" spans="1:22" ht="25.2" customHeight="1" x14ac:dyDescent="0.3">
      <c r="A765" s="46" t="s">
        <v>1611</v>
      </c>
      <c r="B765" s="49" t="s">
        <v>846</v>
      </c>
      <c r="C765" s="2">
        <f>D765+L765+N765+P765+R765+S765+T765+U765</f>
        <v>11811440</v>
      </c>
      <c r="D765" s="3">
        <f>SUM(E765:J765)</f>
        <v>3330000</v>
      </c>
      <c r="E765" s="3">
        <f>700*1110</f>
        <v>777000</v>
      </c>
      <c r="F765" s="3">
        <f>1300*1110</f>
        <v>1443000</v>
      </c>
      <c r="G765" s="3">
        <f>300*1110</f>
        <v>333000</v>
      </c>
      <c r="H765" s="3">
        <f>400*1110</f>
        <v>444000</v>
      </c>
      <c r="I765" s="3">
        <f>300*1110</f>
        <v>333000</v>
      </c>
      <c r="J765" s="3">
        <v>0</v>
      </c>
      <c r="K765" s="4">
        <v>0</v>
      </c>
      <c r="L765" s="3">
        <v>0</v>
      </c>
      <c r="M765" s="3">
        <v>780</v>
      </c>
      <c r="N765" s="3">
        <f>M765*6600</f>
        <v>5148000</v>
      </c>
      <c r="O765" s="3">
        <v>0</v>
      </c>
      <c r="P765" s="3">
        <v>0</v>
      </c>
      <c r="Q765" s="3">
        <v>820</v>
      </c>
      <c r="R765" s="3">
        <f>Q765*3200</f>
        <v>2624000</v>
      </c>
      <c r="S765" s="3">
        <v>409440</v>
      </c>
      <c r="T765" s="3">
        <v>0</v>
      </c>
      <c r="U765" s="3">
        <v>300000</v>
      </c>
      <c r="V765" s="6">
        <f>N765/M765</f>
        <v>6600</v>
      </c>
    </row>
    <row r="766" spans="1:22" ht="40.049999999999997" customHeight="1" x14ac:dyDescent="0.3">
      <c r="A766" s="45" t="s">
        <v>127</v>
      </c>
      <c r="B766" s="45"/>
      <c r="C766" s="2">
        <f t="shared" ref="C766:U766" si="192">SUM(C767)</f>
        <v>6210420</v>
      </c>
      <c r="D766" s="2">
        <f t="shared" si="192"/>
        <v>0</v>
      </c>
      <c r="E766" s="2">
        <f t="shared" si="192"/>
        <v>0</v>
      </c>
      <c r="F766" s="2">
        <f t="shared" si="192"/>
        <v>0</v>
      </c>
      <c r="G766" s="2">
        <f t="shared" si="192"/>
        <v>0</v>
      </c>
      <c r="H766" s="2">
        <f t="shared" si="192"/>
        <v>0</v>
      </c>
      <c r="I766" s="2">
        <f t="shared" si="192"/>
        <v>0</v>
      </c>
      <c r="J766" s="2">
        <f t="shared" si="192"/>
        <v>0</v>
      </c>
      <c r="K766" s="38">
        <f t="shared" si="192"/>
        <v>0</v>
      </c>
      <c r="L766" s="2">
        <f t="shared" si="192"/>
        <v>0</v>
      </c>
      <c r="M766" s="2">
        <f t="shared" si="192"/>
        <v>1395.6</v>
      </c>
      <c r="N766" s="2">
        <f t="shared" si="192"/>
        <v>6210420</v>
      </c>
      <c r="O766" s="2">
        <f t="shared" si="192"/>
        <v>0</v>
      </c>
      <c r="P766" s="2">
        <f t="shared" si="192"/>
        <v>0</v>
      </c>
      <c r="Q766" s="2">
        <f t="shared" si="192"/>
        <v>0</v>
      </c>
      <c r="R766" s="2">
        <f t="shared" si="192"/>
        <v>0</v>
      </c>
      <c r="S766" s="2">
        <f t="shared" si="192"/>
        <v>0</v>
      </c>
      <c r="T766" s="2">
        <f t="shared" si="192"/>
        <v>0</v>
      </c>
      <c r="U766" s="2">
        <f t="shared" si="192"/>
        <v>0</v>
      </c>
    </row>
    <row r="767" spans="1:22" ht="25.2" customHeight="1" x14ac:dyDescent="0.3">
      <c r="A767" s="46" t="s">
        <v>1612</v>
      </c>
      <c r="B767" s="49" t="s">
        <v>1180</v>
      </c>
      <c r="C767" s="2">
        <f>D767+L767+N767+P767+R767+S767+T767+U767</f>
        <v>6210420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1395.6</v>
      </c>
      <c r="N767" s="3">
        <f>M767*4450</f>
        <v>6210420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6">
        <f>N767/M767</f>
        <v>4450</v>
      </c>
    </row>
    <row r="768" spans="1:22" ht="40.049999999999997" customHeight="1" x14ac:dyDescent="0.3">
      <c r="A768" s="45" t="s">
        <v>915</v>
      </c>
      <c r="B768" s="45"/>
      <c r="C768" s="2">
        <f t="shared" ref="C768:U768" si="193">SUM(C769)</f>
        <v>1914000</v>
      </c>
      <c r="D768" s="2">
        <f t="shared" si="193"/>
        <v>0</v>
      </c>
      <c r="E768" s="2">
        <f t="shared" si="193"/>
        <v>0</v>
      </c>
      <c r="F768" s="2">
        <f t="shared" si="193"/>
        <v>0</v>
      </c>
      <c r="G768" s="2">
        <f t="shared" si="193"/>
        <v>0</v>
      </c>
      <c r="H768" s="2">
        <f t="shared" si="193"/>
        <v>0</v>
      </c>
      <c r="I768" s="2">
        <f t="shared" si="193"/>
        <v>0</v>
      </c>
      <c r="J768" s="2">
        <f t="shared" si="193"/>
        <v>0</v>
      </c>
      <c r="K768" s="38">
        <f t="shared" si="193"/>
        <v>0</v>
      </c>
      <c r="L768" s="2">
        <f t="shared" si="193"/>
        <v>0</v>
      </c>
      <c r="M768" s="2">
        <f t="shared" si="193"/>
        <v>290</v>
      </c>
      <c r="N768" s="2">
        <f t="shared" si="193"/>
        <v>1914000</v>
      </c>
      <c r="O768" s="2">
        <f t="shared" si="193"/>
        <v>0</v>
      </c>
      <c r="P768" s="2">
        <f t="shared" si="193"/>
        <v>0</v>
      </c>
      <c r="Q768" s="2">
        <f t="shared" si="193"/>
        <v>0</v>
      </c>
      <c r="R768" s="2">
        <f t="shared" si="193"/>
        <v>0</v>
      </c>
      <c r="S768" s="2">
        <f t="shared" si="193"/>
        <v>0</v>
      </c>
      <c r="T768" s="2">
        <f t="shared" si="193"/>
        <v>0</v>
      </c>
      <c r="U768" s="2">
        <f t="shared" si="193"/>
        <v>0</v>
      </c>
      <c r="V768" s="44">
        <f>C768</f>
        <v>1914000</v>
      </c>
    </row>
    <row r="769" spans="1:22" ht="25.2" customHeight="1" x14ac:dyDescent="0.3">
      <c r="A769" s="46" t="s">
        <v>1613</v>
      </c>
      <c r="B769" s="49" t="s">
        <v>1807</v>
      </c>
      <c r="C769" s="2">
        <f>D769+L769+N769+P769+R769+S769+T769+U769</f>
        <v>1914000</v>
      </c>
      <c r="D769" s="3">
        <f>SUM(E769:J769)</f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290</v>
      </c>
      <c r="N769" s="3">
        <f>M769*6600</f>
        <v>1914000</v>
      </c>
      <c r="O769" s="3">
        <v>0</v>
      </c>
      <c r="P769" s="3">
        <v>0</v>
      </c>
      <c r="Q769" s="3">
        <v>0</v>
      </c>
      <c r="R769" s="3">
        <f>Q769*3200</f>
        <v>0</v>
      </c>
      <c r="S769" s="3">
        <v>0</v>
      </c>
      <c r="T769" s="3">
        <v>0</v>
      </c>
      <c r="U769" s="3">
        <v>0</v>
      </c>
      <c r="V769" s="6">
        <f>N769/M769</f>
        <v>6600</v>
      </c>
    </row>
    <row r="770" spans="1:22" ht="45" customHeight="1" x14ac:dyDescent="0.3">
      <c r="A770" s="50" t="s">
        <v>128</v>
      </c>
      <c r="B770" s="51"/>
      <c r="C770" s="2">
        <f t="shared" ref="C770:U770" si="194">SUM(C771)</f>
        <v>1742600</v>
      </c>
      <c r="D770" s="2">
        <f t="shared" si="194"/>
        <v>0</v>
      </c>
      <c r="E770" s="2">
        <f t="shared" si="194"/>
        <v>0</v>
      </c>
      <c r="F770" s="2">
        <f t="shared" si="194"/>
        <v>0</v>
      </c>
      <c r="G770" s="2">
        <f t="shared" si="194"/>
        <v>0</v>
      </c>
      <c r="H770" s="2">
        <f t="shared" si="194"/>
        <v>0</v>
      </c>
      <c r="I770" s="2">
        <f t="shared" si="194"/>
        <v>0</v>
      </c>
      <c r="J770" s="2">
        <f t="shared" si="194"/>
        <v>0</v>
      </c>
      <c r="K770" s="38">
        <f t="shared" si="194"/>
        <v>0</v>
      </c>
      <c r="L770" s="2">
        <f t="shared" si="194"/>
        <v>0</v>
      </c>
      <c r="M770" s="2">
        <f t="shared" si="194"/>
        <v>0</v>
      </c>
      <c r="N770" s="2">
        <f t="shared" si="194"/>
        <v>0</v>
      </c>
      <c r="O770" s="2">
        <f t="shared" si="194"/>
        <v>0</v>
      </c>
      <c r="P770" s="2">
        <f t="shared" si="194"/>
        <v>0</v>
      </c>
      <c r="Q770" s="2">
        <f t="shared" si="194"/>
        <v>496</v>
      </c>
      <c r="R770" s="2">
        <f t="shared" si="194"/>
        <v>1587200</v>
      </c>
      <c r="S770" s="2">
        <f t="shared" si="194"/>
        <v>155400</v>
      </c>
      <c r="T770" s="2">
        <f t="shared" si="194"/>
        <v>0</v>
      </c>
      <c r="U770" s="2">
        <f t="shared" si="194"/>
        <v>0</v>
      </c>
      <c r="V770" s="44" t="e">
        <f>C770+#REF!</f>
        <v>#REF!</v>
      </c>
    </row>
    <row r="771" spans="1:22" ht="25.2" customHeight="1" x14ac:dyDescent="0.3">
      <c r="A771" s="46" t="s">
        <v>1614</v>
      </c>
      <c r="B771" s="49" t="s">
        <v>877</v>
      </c>
      <c r="C771" s="2">
        <f>D771+L771+N771+P771+R771+S771+T771+U771</f>
        <v>1742600</v>
      </c>
      <c r="D771" s="3">
        <f>SUM(E771:J771)</f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496</v>
      </c>
      <c r="R771" s="3">
        <f>Q771*3200</f>
        <v>1587200</v>
      </c>
      <c r="S771" s="3">
        <v>155400</v>
      </c>
      <c r="T771" s="3">
        <v>0</v>
      </c>
      <c r="U771" s="3">
        <v>0</v>
      </c>
      <c r="V771" s="6" t="e">
        <f>N771/M771</f>
        <v>#DIV/0!</v>
      </c>
    </row>
    <row r="772" spans="1:22" ht="45" customHeight="1" x14ac:dyDescent="0.3">
      <c r="A772" s="45" t="s">
        <v>138</v>
      </c>
      <c r="B772" s="45"/>
      <c r="C772" s="2">
        <f t="shared" ref="C772:U772" si="195">SUM(C773:C774)</f>
        <v>600000</v>
      </c>
      <c r="D772" s="2">
        <f t="shared" si="195"/>
        <v>0</v>
      </c>
      <c r="E772" s="2">
        <f t="shared" si="195"/>
        <v>0</v>
      </c>
      <c r="F772" s="2">
        <f t="shared" si="195"/>
        <v>0</v>
      </c>
      <c r="G772" s="2">
        <f t="shared" si="195"/>
        <v>0</v>
      </c>
      <c r="H772" s="2">
        <f t="shared" si="195"/>
        <v>0</v>
      </c>
      <c r="I772" s="2">
        <f t="shared" si="195"/>
        <v>0</v>
      </c>
      <c r="J772" s="2">
        <f t="shared" si="195"/>
        <v>0</v>
      </c>
      <c r="K772" s="38">
        <f t="shared" si="195"/>
        <v>0</v>
      </c>
      <c r="L772" s="2">
        <f t="shared" si="195"/>
        <v>0</v>
      </c>
      <c r="M772" s="2">
        <f t="shared" si="195"/>
        <v>0</v>
      </c>
      <c r="N772" s="2">
        <f t="shared" si="195"/>
        <v>0</v>
      </c>
      <c r="O772" s="2">
        <f t="shared" si="195"/>
        <v>0</v>
      </c>
      <c r="P772" s="2">
        <f t="shared" si="195"/>
        <v>0</v>
      </c>
      <c r="Q772" s="2">
        <f t="shared" si="195"/>
        <v>0</v>
      </c>
      <c r="R772" s="2">
        <f t="shared" si="195"/>
        <v>0</v>
      </c>
      <c r="S772" s="2">
        <f t="shared" si="195"/>
        <v>0</v>
      </c>
      <c r="T772" s="2">
        <f t="shared" si="195"/>
        <v>0</v>
      </c>
      <c r="U772" s="2">
        <f t="shared" si="195"/>
        <v>600000</v>
      </c>
      <c r="V772" s="44">
        <f>C772</f>
        <v>600000</v>
      </c>
    </row>
    <row r="773" spans="1:22" ht="25.2" customHeight="1" x14ac:dyDescent="0.3">
      <c r="A773" s="46" t="s">
        <v>1615</v>
      </c>
      <c r="B773" s="49" t="s">
        <v>139</v>
      </c>
      <c r="C773" s="2">
        <f>D773+L773+N773+P773+R773+S773+T773+U773</f>
        <v>300000</v>
      </c>
      <c r="D773" s="3">
        <f>SUM(E773:J773)</f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0</v>
      </c>
      <c r="N773" s="3">
        <f>M773*6600</f>
        <v>0</v>
      </c>
      <c r="O773" s="3">
        <v>0</v>
      </c>
      <c r="P773" s="3">
        <v>0</v>
      </c>
      <c r="Q773" s="3">
        <v>0</v>
      </c>
      <c r="R773" s="3">
        <f>Q773*3200</f>
        <v>0</v>
      </c>
      <c r="S773" s="3">
        <v>0</v>
      </c>
      <c r="T773" s="3">
        <v>0</v>
      </c>
      <c r="U773" s="3">
        <v>300000</v>
      </c>
      <c r="V773" s="6" t="e">
        <f>N773/M773</f>
        <v>#DIV/0!</v>
      </c>
    </row>
    <row r="774" spans="1:22" ht="25.2" customHeight="1" x14ac:dyDescent="0.3">
      <c r="A774" s="46" t="s">
        <v>1616</v>
      </c>
      <c r="B774" s="49" t="s">
        <v>140</v>
      </c>
      <c r="C774" s="2">
        <f>D774+L774+N774+P774+R774+S774+T774+U774</f>
        <v>300000</v>
      </c>
      <c r="D774" s="3">
        <f>SUM(E774:J774)</f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0</v>
      </c>
      <c r="N774" s="3">
        <f>M774*6600</f>
        <v>0</v>
      </c>
      <c r="O774" s="3">
        <v>0</v>
      </c>
      <c r="P774" s="3">
        <v>0</v>
      </c>
      <c r="Q774" s="3">
        <v>0</v>
      </c>
      <c r="R774" s="3">
        <f>Q774*3200</f>
        <v>0</v>
      </c>
      <c r="S774" s="3">
        <v>0</v>
      </c>
      <c r="T774" s="3">
        <v>0</v>
      </c>
      <c r="U774" s="3">
        <v>300000</v>
      </c>
      <c r="V774" s="6" t="e">
        <f>N774/M774</f>
        <v>#DIV/0!</v>
      </c>
    </row>
    <row r="775" spans="1:22" ht="45" customHeight="1" x14ac:dyDescent="0.3">
      <c r="A775" s="45" t="s">
        <v>142</v>
      </c>
      <c r="B775" s="45"/>
      <c r="C775" s="2">
        <f t="shared" ref="C775:U775" si="196">SUM(C776)</f>
        <v>4123023</v>
      </c>
      <c r="D775" s="2">
        <f t="shared" si="196"/>
        <v>223559</v>
      </c>
      <c r="E775" s="2">
        <f t="shared" si="196"/>
        <v>223559</v>
      </c>
      <c r="F775" s="2">
        <f t="shared" si="196"/>
        <v>0</v>
      </c>
      <c r="G775" s="2">
        <f t="shared" si="196"/>
        <v>0</v>
      </c>
      <c r="H775" s="2">
        <f t="shared" si="196"/>
        <v>0</v>
      </c>
      <c r="I775" s="2">
        <f t="shared" si="196"/>
        <v>0</v>
      </c>
      <c r="J775" s="2">
        <f t="shared" si="196"/>
        <v>0</v>
      </c>
      <c r="K775" s="38">
        <f t="shared" si="196"/>
        <v>0</v>
      </c>
      <c r="L775" s="2">
        <f t="shared" si="196"/>
        <v>0</v>
      </c>
      <c r="M775" s="2">
        <f t="shared" si="196"/>
        <v>283</v>
      </c>
      <c r="N775" s="2">
        <f t="shared" si="196"/>
        <v>1867800</v>
      </c>
      <c r="O775" s="2">
        <f t="shared" si="196"/>
        <v>126.2</v>
      </c>
      <c r="P775" s="2">
        <f t="shared" si="196"/>
        <v>151440</v>
      </c>
      <c r="Q775" s="2">
        <f t="shared" si="196"/>
        <v>493.82</v>
      </c>
      <c r="R775" s="2">
        <f t="shared" si="196"/>
        <v>1580224</v>
      </c>
      <c r="S775" s="2">
        <f t="shared" si="196"/>
        <v>0</v>
      </c>
      <c r="T775" s="2">
        <f t="shared" si="196"/>
        <v>0</v>
      </c>
      <c r="U775" s="2">
        <f t="shared" si="196"/>
        <v>300000</v>
      </c>
      <c r="V775" s="44">
        <f>C775</f>
        <v>4123023</v>
      </c>
    </row>
    <row r="776" spans="1:22" ht="25.2" customHeight="1" x14ac:dyDescent="0.3">
      <c r="A776" s="46" t="s">
        <v>1617</v>
      </c>
      <c r="B776" s="64" t="s">
        <v>143</v>
      </c>
      <c r="C776" s="2">
        <f>D776+L776+N776+P776+R776+S776+T776+U776</f>
        <v>4123023</v>
      </c>
      <c r="D776" s="3">
        <f>SUM(E776:J776)</f>
        <v>223559</v>
      </c>
      <c r="E776" s="3">
        <f>700*319.37</f>
        <v>223559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283</v>
      </c>
      <c r="N776" s="3">
        <f>M776*6600</f>
        <v>1867800</v>
      </c>
      <c r="O776" s="3">
        <v>126.2</v>
      </c>
      <c r="P776" s="3">
        <f>O776*1200</f>
        <v>151440</v>
      </c>
      <c r="Q776" s="3">
        <v>493.82</v>
      </c>
      <c r="R776" s="3">
        <f>Q776*3200</f>
        <v>1580224</v>
      </c>
      <c r="S776" s="3">
        <v>0</v>
      </c>
      <c r="T776" s="3">
        <v>0</v>
      </c>
      <c r="U776" s="3">
        <v>300000</v>
      </c>
      <c r="V776" s="6">
        <f>N776/M776</f>
        <v>6600</v>
      </c>
    </row>
    <row r="777" spans="1:22" ht="45" customHeight="1" x14ac:dyDescent="0.3">
      <c r="A777" s="45" t="s">
        <v>144</v>
      </c>
      <c r="B777" s="45"/>
      <c r="C777" s="2">
        <f t="shared" ref="C777:U777" si="197">SUM(C778:C783)</f>
        <v>26229114</v>
      </c>
      <c r="D777" s="2">
        <f t="shared" si="197"/>
        <v>0</v>
      </c>
      <c r="E777" s="2">
        <f t="shared" si="197"/>
        <v>0</v>
      </c>
      <c r="F777" s="2">
        <f t="shared" si="197"/>
        <v>0</v>
      </c>
      <c r="G777" s="2">
        <f t="shared" si="197"/>
        <v>0</v>
      </c>
      <c r="H777" s="2">
        <f t="shared" si="197"/>
        <v>0</v>
      </c>
      <c r="I777" s="2">
        <f t="shared" si="197"/>
        <v>0</v>
      </c>
      <c r="J777" s="2">
        <f t="shared" si="197"/>
        <v>0</v>
      </c>
      <c r="K777" s="38">
        <f t="shared" si="197"/>
        <v>0</v>
      </c>
      <c r="L777" s="2">
        <f t="shared" si="197"/>
        <v>0</v>
      </c>
      <c r="M777" s="2">
        <f t="shared" si="197"/>
        <v>3112.2900000000004</v>
      </c>
      <c r="N777" s="2">
        <f t="shared" si="197"/>
        <v>20541114</v>
      </c>
      <c r="O777" s="2">
        <f t="shared" si="197"/>
        <v>0</v>
      </c>
      <c r="P777" s="2">
        <f t="shared" si="197"/>
        <v>0</v>
      </c>
      <c r="Q777" s="2">
        <f t="shared" si="197"/>
        <v>1777.5</v>
      </c>
      <c r="R777" s="2">
        <f t="shared" si="197"/>
        <v>5688000</v>
      </c>
      <c r="S777" s="2">
        <f t="shared" si="197"/>
        <v>0</v>
      </c>
      <c r="T777" s="2">
        <f t="shared" si="197"/>
        <v>0</v>
      </c>
      <c r="U777" s="2">
        <f t="shared" si="197"/>
        <v>0</v>
      </c>
    </row>
    <row r="778" spans="1:22" ht="25.2" customHeight="1" x14ac:dyDescent="0.3">
      <c r="A778" s="46" t="s">
        <v>1618</v>
      </c>
      <c r="B778" s="49" t="s">
        <v>1955</v>
      </c>
      <c r="C778" s="2">
        <f t="shared" ref="C778:C783" si="198">D778+L778+N778+P778+R778+S778+T778+U778</f>
        <v>2864400</v>
      </c>
      <c r="D778" s="3">
        <f t="shared" ref="D778:D783" si="199"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434</v>
      </c>
      <c r="N778" s="3">
        <f t="shared" ref="N778:N783" si="200">M778*6600</f>
        <v>2864400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6">
        <f t="shared" ref="V778:V783" si="201">N778/M778</f>
        <v>6600</v>
      </c>
    </row>
    <row r="779" spans="1:22" ht="25.2" customHeight="1" x14ac:dyDescent="0.3">
      <c r="A779" s="46" t="s">
        <v>1619</v>
      </c>
      <c r="B779" s="49" t="s">
        <v>1956</v>
      </c>
      <c r="C779" s="2">
        <f t="shared" si="198"/>
        <v>2864400</v>
      </c>
      <c r="D779" s="3">
        <f t="shared" si="199"/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434</v>
      </c>
      <c r="N779" s="3">
        <f t="shared" si="200"/>
        <v>2864400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6">
        <f t="shared" si="201"/>
        <v>6600</v>
      </c>
    </row>
    <row r="780" spans="1:22" ht="25.2" customHeight="1" x14ac:dyDescent="0.3">
      <c r="A780" s="46" t="s">
        <v>1620</v>
      </c>
      <c r="B780" s="49" t="s">
        <v>1957</v>
      </c>
      <c r="C780" s="2">
        <f t="shared" si="198"/>
        <v>2760120</v>
      </c>
      <c r="D780" s="3">
        <f t="shared" si="199"/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418.2</v>
      </c>
      <c r="N780" s="3">
        <f t="shared" si="200"/>
        <v>2760120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6">
        <f t="shared" si="201"/>
        <v>6600</v>
      </c>
    </row>
    <row r="781" spans="1:22" ht="25.2" customHeight="1" x14ac:dyDescent="0.3">
      <c r="A781" s="46" t="s">
        <v>1621</v>
      </c>
      <c r="B781" s="49" t="s">
        <v>145</v>
      </c>
      <c r="C781" s="2">
        <f t="shared" si="198"/>
        <v>11342154</v>
      </c>
      <c r="D781" s="3">
        <f t="shared" si="199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856.69</v>
      </c>
      <c r="N781" s="3">
        <f t="shared" si="200"/>
        <v>5654154</v>
      </c>
      <c r="O781" s="3">
        <v>0</v>
      </c>
      <c r="P781" s="3">
        <v>0</v>
      </c>
      <c r="Q781" s="3">
        <v>1777.5</v>
      </c>
      <c r="R781" s="3">
        <f>Q781*3200</f>
        <v>5688000</v>
      </c>
      <c r="S781" s="3">
        <v>0</v>
      </c>
      <c r="T781" s="3">
        <v>0</v>
      </c>
      <c r="U781" s="3">
        <v>0</v>
      </c>
      <c r="V781" s="6">
        <f t="shared" si="201"/>
        <v>6600</v>
      </c>
    </row>
    <row r="782" spans="1:22" ht="25.2" customHeight="1" x14ac:dyDescent="0.3">
      <c r="A782" s="46" t="s">
        <v>1622</v>
      </c>
      <c r="B782" s="49" t="s">
        <v>147</v>
      </c>
      <c r="C782" s="2">
        <f t="shared" si="198"/>
        <v>3418800</v>
      </c>
      <c r="D782" s="3">
        <f t="shared" si="199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518</v>
      </c>
      <c r="N782" s="3">
        <f t="shared" si="200"/>
        <v>3418800</v>
      </c>
      <c r="O782" s="3">
        <v>0</v>
      </c>
      <c r="P782" s="3">
        <v>0</v>
      </c>
      <c r="Q782" s="3">
        <v>0</v>
      </c>
      <c r="R782" s="3">
        <f>Q782*3200</f>
        <v>0</v>
      </c>
      <c r="S782" s="3">
        <v>0</v>
      </c>
      <c r="T782" s="3">
        <v>0</v>
      </c>
      <c r="U782" s="3">
        <v>0</v>
      </c>
      <c r="V782" s="6">
        <f t="shared" si="201"/>
        <v>6600</v>
      </c>
    </row>
    <row r="783" spans="1:22" ht="25.2" customHeight="1" x14ac:dyDescent="0.3">
      <c r="A783" s="46" t="s">
        <v>1623</v>
      </c>
      <c r="B783" s="49" t="s">
        <v>1189</v>
      </c>
      <c r="C783" s="2">
        <f t="shared" si="198"/>
        <v>2979240</v>
      </c>
      <c r="D783" s="3">
        <f t="shared" si="199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451.4</v>
      </c>
      <c r="N783" s="3">
        <f t="shared" si="200"/>
        <v>2979240</v>
      </c>
      <c r="O783" s="3">
        <v>0</v>
      </c>
      <c r="P783" s="3">
        <v>0</v>
      </c>
      <c r="Q783" s="3">
        <v>0</v>
      </c>
      <c r="R783" s="3">
        <f>Q783*3200</f>
        <v>0</v>
      </c>
      <c r="S783" s="3">
        <v>0</v>
      </c>
      <c r="T783" s="3">
        <v>0</v>
      </c>
      <c r="U783" s="3">
        <v>0</v>
      </c>
      <c r="V783" s="6">
        <f t="shared" si="201"/>
        <v>6600</v>
      </c>
    </row>
    <row r="784" spans="1:22" ht="45" customHeight="1" x14ac:dyDescent="0.3">
      <c r="A784" s="45" t="s">
        <v>925</v>
      </c>
      <c r="B784" s="45"/>
      <c r="C784" s="2">
        <f t="shared" ref="C784:U784" si="202">SUM(C785)</f>
        <v>1764180</v>
      </c>
      <c r="D784" s="2">
        <f t="shared" si="202"/>
        <v>0</v>
      </c>
      <c r="E784" s="2">
        <f t="shared" si="202"/>
        <v>0</v>
      </c>
      <c r="F784" s="2">
        <f t="shared" si="202"/>
        <v>0</v>
      </c>
      <c r="G784" s="2">
        <f t="shared" si="202"/>
        <v>0</v>
      </c>
      <c r="H784" s="2">
        <f t="shared" si="202"/>
        <v>0</v>
      </c>
      <c r="I784" s="2">
        <f t="shared" si="202"/>
        <v>0</v>
      </c>
      <c r="J784" s="2">
        <f t="shared" si="202"/>
        <v>0</v>
      </c>
      <c r="K784" s="38">
        <f t="shared" si="202"/>
        <v>0</v>
      </c>
      <c r="L784" s="2">
        <f t="shared" si="202"/>
        <v>0</v>
      </c>
      <c r="M784" s="2">
        <f t="shared" si="202"/>
        <v>267.3</v>
      </c>
      <c r="N784" s="2">
        <f t="shared" si="202"/>
        <v>1764180</v>
      </c>
      <c r="O784" s="2">
        <f t="shared" si="202"/>
        <v>0</v>
      </c>
      <c r="P784" s="2">
        <f t="shared" si="202"/>
        <v>0</v>
      </c>
      <c r="Q784" s="2">
        <f t="shared" si="202"/>
        <v>0</v>
      </c>
      <c r="R784" s="2">
        <f t="shared" si="202"/>
        <v>0</v>
      </c>
      <c r="S784" s="2">
        <f t="shared" si="202"/>
        <v>0</v>
      </c>
      <c r="T784" s="2">
        <f t="shared" si="202"/>
        <v>0</v>
      </c>
      <c r="U784" s="2">
        <f t="shared" si="202"/>
        <v>0</v>
      </c>
    </row>
    <row r="785" spans="1:22" ht="25.2" customHeight="1" x14ac:dyDescent="0.3">
      <c r="A785" s="46" t="s">
        <v>1624</v>
      </c>
      <c r="B785" s="49" t="s">
        <v>151</v>
      </c>
      <c r="C785" s="2">
        <f>D785+L785+N785+P785+R785+S785+T785+U785</f>
        <v>1764180</v>
      </c>
      <c r="D785" s="3">
        <f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267.3</v>
      </c>
      <c r="N785" s="3">
        <f>M785*6600</f>
        <v>1764180</v>
      </c>
      <c r="O785" s="3">
        <v>0</v>
      </c>
      <c r="P785" s="3">
        <v>0</v>
      </c>
      <c r="Q785" s="3">
        <v>0</v>
      </c>
      <c r="R785" s="3">
        <f>Q785*3200</f>
        <v>0</v>
      </c>
      <c r="S785" s="3">
        <v>0</v>
      </c>
      <c r="T785" s="3">
        <v>0</v>
      </c>
      <c r="U785" s="3">
        <v>0</v>
      </c>
      <c r="V785" s="6">
        <f>N785/M785</f>
        <v>6600</v>
      </c>
    </row>
    <row r="786" spans="1:22" ht="45" customHeight="1" x14ac:dyDescent="0.3">
      <c r="A786" s="45" t="s">
        <v>1194</v>
      </c>
      <c r="B786" s="45"/>
      <c r="C786" s="2">
        <f t="shared" ref="C786:U786" si="203">SUM(C787)</f>
        <v>300000</v>
      </c>
      <c r="D786" s="2">
        <f t="shared" si="203"/>
        <v>0</v>
      </c>
      <c r="E786" s="2">
        <f t="shared" si="203"/>
        <v>0</v>
      </c>
      <c r="F786" s="2">
        <f t="shared" si="203"/>
        <v>0</v>
      </c>
      <c r="G786" s="2">
        <f t="shared" si="203"/>
        <v>0</v>
      </c>
      <c r="H786" s="2">
        <f t="shared" si="203"/>
        <v>0</v>
      </c>
      <c r="I786" s="2">
        <f t="shared" si="203"/>
        <v>0</v>
      </c>
      <c r="J786" s="2">
        <f t="shared" si="203"/>
        <v>0</v>
      </c>
      <c r="K786" s="38">
        <f t="shared" si="203"/>
        <v>0</v>
      </c>
      <c r="L786" s="2">
        <f t="shared" si="203"/>
        <v>0</v>
      </c>
      <c r="M786" s="2">
        <f t="shared" si="203"/>
        <v>0</v>
      </c>
      <c r="N786" s="2">
        <f t="shared" si="203"/>
        <v>0</v>
      </c>
      <c r="O786" s="2">
        <f t="shared" si="203"/>
        <v>0</v>
      </c>
      <c r="P786" s="2">
        <f t="shared" si="203"/>
        <v>0</v>
      </c>
      <c r="Q786" s="2">
        <f t="shared" si="203"/>
        <v>0</v>
      </c>
      <c r="R786" s="2">
        <f t="shared" si="203"/>
        <v>0</v>
      </c>
      <c r="S786" s="2">
        <f t="shared" si="203"/>
        <v>0</v>
      </c>
      <c r="T786" s="2">
        <f t="shared" si="203"/>
        <v>0</v>
      </c>
      <c r="U786" s="2">
        <f t="shared" si="203"/>
        <v>300000</v>
      </c>
    </row>
    <row r="787" spans="1:22" ht="25.2" customHeight="1" x14ac:dyDescent="0.3">
      <c r="A787" s="46" t="s">
        <v>1625</v>
      </c>
      <c r="B787" s="49" t="s">
        <v>1195</v>
      </c>
      <c r="C787" s="2">
        <f>D787+L787+N787+P787+R787+S787+T787+U787</f>
        <v>300000</v>
      </c>
      <c r="D787" s="3">
        <f>SUM(E787:J787)</f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0</v>
      </c>
      <c r="N787" s="3">
        <f>M787*6600</f>
        <v>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300000</v>
      </c>
      <c r="V787" s="6" t="e">
        <f>N787/M787</f>
        <v>#DIV/0!</v>
      </c>
    </row>
    <row r="788" spans="1:22" ht="45" customHeight="1" x14ac:dyDescent="0.3">
      <c r="A788" s="45" t="s">
        <v>154</v>
      </c>
      <c r="B788" s="45"/>
      <c r="C788" s="2">
        <f>SUM(C789:C805)</f>
        <v>121433323.72</v>
      </c>
      <c r="D788" s="2">
        <f t="shared" ref="D788:U788" si="204">SUM(D789:D805)</f>
        <v>36783555</v>
      </c>
      <c r="E788" s="2">
        <f t="shared" si="204"/>
        <v>13976200</v>
      </c>
      <c r="F788" s="2">
        <f t="shared" si="204"/>
        <v>15736465</v>
      </c>
      <c r="G788" s="2">
        <f t="shared" si="204"/>
        <v>3583680</v>
      </c>
      <c r="H788" s="2">
        <f t="shared" si="204"/>
        <v>0</v>
      </c>
      <c r="I788" s="2">
        <f t="shared" si="204"/>
        <v>3487210</v>
      </c>
      <c r="J788" s="2">
        <f t="shared" si="204"/>
        <v>0</v>
      </c>
      <c r="K788" s="2">
        <f t="shared" si="204"/>
        <v>0</v>
      </c>
      <c r="L788" s="2">
        <f t="shared" si="204"/>
        <v>0</v>
      </c>
      <c r="M788" s="2">
        <f t="shared" si="204"/>
        <v>8162.04</v>
      </c>
      <c r="N788" s="2">
        <f t="shared" si="204"/>
        <v>50773555</v>
      </c>
      <c r="O788" s="2">
        <f t="shared" si="204"/>
        <v>0</v>
      </c>
      <c r="P788" s="2">
        <f t="shared" si="204"/>
        <v>0</v>
      </c>
      <c r="Q788" s="2">
        <f t="shared" si="204"/>
        <v>9372.1700000000019</v>
      </c>
      <c r="R788" s="2">
        <f t="shared" si="204"/>
        <v>29729244</v>
      </c>
      <c r="S788" s="2">
        <f t="shared" si="204"/>
        <v>0</v>
      </c>
      <c r="T788" s="2">
        <f t="shared" si="204"/>
        <v>0</v>
      </c>
      <c r="U788" s="2">
        <f t="shared" si="204"/>
        <v>4146969.72</v>
      </c>
    </row>
    <row r="789" spans="1:22" ht="25.2" customHeight="1" x14ac:dyDescent="0.3">
      <c r="A789" s="46" t="s">
        <v>1626</v>
      </c>
      <c r="B789" s="52" t="s">
        <v>159</v>
      </c>
      <c r="C789" s="2">
        <f t="shared" ref="C789:C805" si="205">D789+L789+N789+P789+R789+S789+T789+U789</f>
        <v>5297180</v>
      </c>
      <c r="D789" s="3">
        <f t="shared" ref="D789:D805" si="206">SUM(E789:J789)</f>
        <v>5297180</v>
      </c>
      <c r="E789" s="3">
        <f>7567.4*700</f>
        <v>5297180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2">
        <v>0</v>
      </c>
      <c r="R789" s="3">
        <v>0</v>
      </c>
      <c r="S789" s="3">
        <v>0</v>
      </c>
      <c r="T789" s="3">
        <v>0</v>
      </c>
      <c r="U789" s="3">
        <v>0</v>
      </c>
      <c r="V789" s="6" t="e">
        <f t="shared" ref="V789:V805" si="207">N789/M789</f>
        <v>#DIV/0!</v>
      </c>
    </row>
    <row r="790" spans="1:22" ht="25.2" customHeight="1" x14ac:dyDescent="0.3">
      <c r="A790" s="46" t="s">
        <v>1971</v>
      </c>
      <c r="B790" s="1" t="s">
        <v>182</v>
      </c>
      <c r="C790" s="2">
        <f t="shared" si="205"/>
        <v>8568040</v>
      </c>
      <c r="D790" s="3">
        <f t="shared" si="206"/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851</v>
      </c>
      <c r="N790" s="3">
        <f>M790*6600</f>
        <v>5616600</v>
      </c>
      <c r="O790" s="3">
        <v>0</v>
      </c>
      <c r="P790" s="3">
        <f>O790*410</f>
        <v>0</v>
      </c>
      <c r="Q790" s="3">
        <v>656.7</v>
      </c>
      <c r="R790" s="3">
        <f>Q790*3200</f>
        <v>2101440</v>
      </c>
      <c r="S790" s="3">
        <f>S856</f>
        <v>0</v>
      </c>
      <c r="T790" s="3">
        <v>0</v>
      </c>
      <c r="U790" s="3">
        <v>850000</v>
      </c>
      <c r="V790" s="6">
        <f t="shared" si="207"/>
        <v>6600</v>
      </c>
    </row>
    <row r="791" spans="1:22" ht="25.2" customHeight="1" x14ac:dyDescent="0.3">
      <c r="A791" s="46" t="s">
        <v>1627</v>
      </c>
      <c r="B791" s="52" t="s">
        <v>176</v>
      </c>
      <c r="C791" s="2">
        <f t="shared" si="205"/>
        <v>13846530</v>
      </c>
      <c r="D791" s="3">
        <f t="shared" si="206"/>
        <v>3762330</v>
      </c>
      <c r="E791" s="3">
        <f>350*1929.4</f>
        <v>675290</v>
      </c>
      <c r="F791" s="3">
        <f>1050*1929.4</f>
        <v>2025870</v>
      </c>
      <c r="G791" s="3">
        <f>300*1929.4</f>
        <v>578820</v>
      </c>
      <c r="H791" s="3">
        <f>400*0</f>
        <v>0</v>
      </c>
      <c r="I791" s="3">
        <f>250*1929.4</f>
        <v>482350</v>
      </c>
      <c r="J791" s="3">
        <f>350*0</f>
        <v>0</v>
      </c>
      <c r="K791" s="4">
        <v>0</v>
      </c>
      <c r="L791" s="3">
        <v>0</v>
      </c>
      <c r="M791" s="32">
        <v>1083.4000000000001</v>
      </c>
      <c r="N791" s="32">
        <f>M791*5500</f>
        <v>5958700.0000000009</v>
      </c>
      <c r="O791" s="3">
        <v>0</v>
      </c>
      <c r="P791" s="3">
        <v>0</v>
      </c>
      <c r="Q791" s="3">
        <v>1308.5</v>
      </c>
      <c r="R791" s="3">
        <f>Q791*3000</f>
        <v>3925500</v>
      </c>
      <c r="S791" s="3">
        <v>0</v>
      </c>
      <c r="T791" s="3">
        <v>0</v>
      </c>
      <c r="U791" s="3">
        <v>200000</v>
      </c>
      <c r="V791" s="6">
        <f t="shared" si="207"/>
        <v>5500</v>
      </c>
    </row>
    <row r="792" spans="1:22" ht="25.2" customHeight="1" x14ac:dyDescent="0.3">
      <c r="A792" s="46" t="s">
        <v>1628</v>
      </c>
      <c r="B792" s="1" t="s">
        <v>174</v>
      </c>
      <c r="C792" s="2">
        <f t="shared" si="205"/>
        <v>689535</v>
      </c>
      <c r="D792" s="3">
        <f t="shared" si="206"/>
        <v>689535</v>
      </c>
      <c r="E792" s="3">
        <v>0</v>
      </c>
      <c r="F792" s="3">
        <f>1050*656.7</f>
        <v>689535</v>
      </c>
      <c r="G792" s="3">
        <v>0</v>
      </c>
      <c r="H792" s="3">
        <f>400*0</f>
        <v>0</v>
      </c>
      <c r="I792" s="3">
        <v>0</v>
      </c>
      <c r="J792" s="3">
        <f>350*0</f>
        <v>0</v>
      </c>
      <c r="K792" s="4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2">
        <v>0</v>
      </c>
      <c r="R792" s="3">
        <v>0</v>
      </c>
      <c r="S792" s="3">
        <f>S1590</f>
        <v>0</v>
      </c>
      <c r="T792" s="3">
        <v>0</v>
      </c>
      <c r="U792" s="3">
        <v>0</v>
      </c>
      <c r="V792" s="6" t="e">
        <f t="shared" si="207"/>
        <v>#DIV/0!</v>
      </c>
    </row>
    <row r="793" spans="1:22" ht="25.2" customHeight="1" x14ac:dyDescent="0.3">
      <c r="A793" s="46" t="s">
        <v>1629</v>
      </c>
      <c r="B793" s="1" t="s">
        <v>183</v>
      </c>
      <c r="C793" s="2">
        <f t="shared" si="205"/>
        <v>7192900.7999999998</v>
      </c>
      <c r="D793" s="3">
        <f t="shared" si="206"/>
        <v>2397720</v>
      </c>
      <c r="E793" s="3">
        <f>700*922.2</f>
        <v>645540</v>
      </c>
      <c r="F793" s="3">
        <f>1300*922.2</f>
        <v>1198860</v>
      </c>
      <c r="G793" s="3">
        <f>300*922.2</f>
        <v>276660</v>
      </c>
      <c r="H793" s="3">
        <v>0</v>
      </c>
      <c r="I793" s="3">
        <f>300*922.2</f>
        <v>276660</v>
      </c>
      <c r="J793" s="3">
        <v>0</v>
      </c>
      <c r="K793" s="4">
        <v>0</v>
      </c>
      <c r="L793" s="3">
        <v>0</v>
      </c>
      <c r="M793" s="3">
        <v>340</v>
      </c>
      <c r="N793" s="3">
        <f t="shared" ref="N793:N799" si="208">M793*6600</f>
        <v>2244000</v>
      </c>
      <c r="O793" s="3">
        <v>0</v>
      </c>
      <c r="P793" s="3">
        <f>O793*410</f>
        <v>0</v>
      </c>
      <c r="Q793" s="3">
        <v>733</v>
      </c>
      <c r="R793" s="3">
        <f t="shared" ref="R793:R805" si="209">Q793*3200</f>
        <v>2345600</v>
      </c>
      <c r="S793" s="3">
        <f>S860</f>
        <v>0</v>
      </c>
      <c r="T793" s="3">
        <v>0</v>
      </c>
      <c r="U793" s="3">
        <v>205580.79999999999</v>
      </c>
      <c r="V793" s="6">
        <f t="shared" si="207"/>
        <v>6600</v>
      </c>
    </row>
    <row r="794" spans="1:22" ht="25.2" customHeight="1" x14ac:dyDescent="0.3">
      <c r="A794" s="46" t="s">
        <v>1630</v>
      </c>
      <c r="B794" s="1" t="s">
        <v>184</v>
      </c>
      <c r="C794" s="2">
        <f t="shared" si="205"/>
        <v>7411960</v>
      </c>
      <c r="D794" s="3">
        <f t="shared" si="206"/>
        <v>767200</v>
      </c>
      <c r="E794" s="3">
        <f>700*1096</f>
        <v>767200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4">
        <v>0</v>
      </c>
      <c r="L794" s="3">
        <v>0</v>
      </c>
      <c r="M794" s="3">
        <v>688.6</v>
      </c>
      <c r="N794" s="3">
        <f t="shared" si="208"/>
        <v>4544760</v>
      </c>
      <c r="O794" s="3">
        <v>0</v>
      </c>
      <c r="P794" s="3">
        <f>O794*410</f>
        <v>0</v>
      </c>
      <c r="Q794" s="3">
        <v>625</v>
      </c>
      <c r="R794" s="3">
        <f t="shared" si="209"/>
        <v>2000000</v>
      </c>
      <c r="S794" s="3">
        <f>S868</f>
        <v>0</v>
      </c>
      <c r="T794" s="3">
        <v>0</v>
      </c>
      <c r="U794" s="3">
        <v>100000</v>
      </c>
      <c r="V794" s="6">
        <f t="shared" si="207"/>
        <v>6600</v>
      </c>
    </row>
    <row r="795" spans="1:22" ht="25.2" customHeight="1" x14ac:dyDescent="0.3">
      <c r="A795" s="46" t="s">
        <v>1631</v>
      </c>
      <c r="B795" s="1" t="s">
        <v>185</v>
      </c>
      <c r="C795" s="2">
        <f t="shared" si="205"/>
        <v>8249480</v>
      </c>
      <c r="D795" s="3">
        <f t="shared" si="206"/>
        <v>3218800</v>
      </c>
      <c r="E795" s="3">
        <f>700*1238</f>
        <v>866600</v>
      </c>
      <c r="F795" s="3">
        <f>1300*1238</f>
        <v>1609400</v>
      </c>
      <c r="G795" s="3">
        <f>300*1238</f>
        <v>371400</v>
      </c>
      <c r="H795" s="3">
        <v>0</v>
      </c>
      <c r="I795" s="3">
        <f>300*1238</f>
        <v>371400</v>
      </c>
      <c r="J795" s="3">
        <f>350*0</f>
        <v>0</v>
      </c>
      <c r="K795" s="4">
        <v>0</v>
      </c>
      <c r="L795" s="3">
        <v>0</v>
      </c>
      <c r="M795" s="3">
        <v>476.2</v>
      </c>
      <c r="N795" s="3">
        <f t="shared" si="208"/>
        <v>3142920</v>
      </c>
      <c r="O795" s="3">
        <v>0</v>
      </c>
      <c r="P795" s="3">
        <f>O795*410</f>
        <v>0</v>
      </c>
      <c r="Q795" s="3">
        <v>324.3</v>
      </c>
      <c r="R795" s="3">
        <f t="shared" si="209"/>
        <v>1037760</v>
      </c>
      <c r="S795" s="3">
        <f>S869</f>
        <v>0</v>
      </c>
      <c r="T795" s="3">
        <v>0</v>
      </c>
      <c r="U795" s="3">
        <v>850000</v>
      </c>
      <c r="V795" s="6">
        <f t="shared" si="207"/>
        <v>6600</v>
      </c>
    </row>
    <row r="796" spans="1:22" ht="25.2" customHeight="1" x14ac:dyDescent="0.3">
      <c r="A796" s="46" t="s">
        <v>1988</v>
      </c>
      <c r="B796" s="1" t="s">
        <v>1987</v>
      </c>
      <c r="C796" s="2">
        <f t="shared" si="205"/>
        <v>8889680</v>
      </c>
      <c r="D796" s="3">
        <f t="shared" si="206"/>
        <v>3406000</v>
      </c>
      <c r="E796" s="3">
        <f>700*1310</f>
        <v>917000</v>
      </c>
      <c r="F796" s="3">
        <f>1300*1310</f>
        <v>1703000</v>
      </c>
      <c r="G796" s="3">
        <f>300*1310</f>
        <v>393000</v>
      </c>
      <c r="H796" s="3">
        <v>0</v>
      </c>
      <c r="I796" s="3">
        <f>300*1310</f>
        <v>393000</v>
      </c>
      <c r="J796" s="3">
        <f>350*0</f>
        <v>0</v>
      </c>
      <c r="K796" s="4">
        <v>0</v>
      </c>
      <c r="L796" s="3">
        <v>0</v>
      </c>
      <c r="M796" s="3">
        <v>582.79999999999995</v>
      </c>
      <c r="N796" s="3">
        <f t="shared" si="208"/>
        <v>3846479.9999999995</v>
      </c>
      <c r="O796" s="3">
        <v>0</v>
      </c>
      <c r="P796" s="3">
        <f>O796*410</f>
        <v>0</v>
      </c>
      <c r="Q796" s="3">
        <v>246</v>
      </c>
      <c r="R796" s="3">
        <f t="shared" si="209"/>
        <v>787200</v>
      </c>
      <c r="S796" s="3">
        <f>S873</f>
        <v>0</v>
      </c>
      <c r="T796" s="3">
        <v>0</v>
      </c>
      <c r="U796" s="3">
        <v>850000</v>
      </c>
    </row>
    <row r="797" spans="1:22" ht="25.2" customHeight="1" x14ac:dyDescent="0.3">
      <c r="A797" s="46" t="s">
        <v>1989</v>
      </c>
      <c r="B797" s="1" t="s">
        <v>186</v>
      </c>
      <c r="C797" s="2">
        <f t="shared" si="205"/>
        <v>2467050</v>
      </c>
      <c r="D797" s="3">
        <f t="shared" si="206"/>
        <v>225190</v>
      </c>
      <c r="E797" s="3">
        <f>700*321.7</f>
        <v>225190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4">
        <v>0</v>
      </c>
      <c r="L797" s="3">
        <v>0</v>
      </c>
      <c r="M797" s="3">
        <v>176.5</v>
      </c>
      <c r="N797" s="3">
        <f t="shared" si="208"/>
        <v>1164900</v>
      </c>
      <c r="O797" s="3">
        <v>0</v>
      </c>
      <c r="P797" s="3">
        <v>0</v>
      </c>
      <c r="Q797" s="3">
        <v>305.3</v>
      </c>
      <c r="R797" s="3">
        <f t="shared" si="209"/>
        <v>976960</v>
      </c>
      <c r="S797" s="3">
        <f>S873</f>
        <v>0</v>
      </c>
      <c r="T797" s="3">
        <v>0</v>
      </c>
      <c r="U797" s="3">
        <v>100000</v>
      </c>
      <c r="V797" s="6">
        <f t="shared" si="207"/>
        <v>6600</v>
      </c>
    </row>
    <row r="798" spans="1:22" ht="25.2" customHeight="1" x14ac:dyDescent="0.3">
      <c r="A798" s="46" t="s">
        <v>1990</v>
      </c>
      <c r="B798" s="1" t="s">
        <v>187</v>
      </c>
      <c r="C798" s="2">
        <f t="shared" si="205"/>
        <v>14865771.939999999</v>
      </c>
      <c r="D798" s="3">
        <f t="shared" si="206"/>
        <v>5680219.9999999991</v>
      </c>
      <c r="E798" s="3">
        <f>700*2184.7</f>
        <v>1529289.9999999998</v>
      </c>
      <c r="F798" s="3">
        <f>1300*2184.7</f>
        <v>2840109.9999999995</v>
      </c>
      <c r="G798" s="3">
        <f>300*2184.7</f>
        <v>655410</v>
      </c>
      <c r="H798" s="3">
        <v>0</v>
      </c>
      <c r="I798" s="3">
        <f>300*2184.7</f>
        <v>655410</v>
      </c>
      <c r="J798" s="3">
        <v>0</v>
      </c>
      <c r="K798" s="4">
        <v>0</v>
      </c>
      <c r="L798" s="3">
        <v>0</v>
      </c>
      <c r="M798" s="3">
        <v>739.3</v>
      </c>
      <c r="N798" s="3">
        <f t="shared" si="208"/>
        <v>4879380</v>
      </c>
      <c r="O798" s="3">
        <v>0</v>
      </c>
      <c r="P798" s="3">
        <v>0</v>
      </c>
      <c r="Q798" s="3">
        <v>1287</v>
      </c>
      <c r="R798" s="3">
        <f t="shared" si="209"/>
        <v>4118400</v>
      </c>
      <c r="S798" s="3">
        <f>S875</f>
        <v>0</v>
      </c>
      <c r="T798" s="3">
        <v>0</v>
      </c>
      <c r="U798" s="3">
        <v>187771.94</v>
      </c>
      <c r="V798" s="6">
        <f t="shared" si="207"/>
        <v>6600</v>
      </c>
    </row>
    <row r="799" spans="1:22" ht="25.2" customHeight="1" x14ac:dyDescent="0.3">
      <c r="A799" s="46" t="s">
        <v>1991</v>
      </c>
      <c r="B799" s="1" t="s">
        <v>188</v>
      </c>
      <c r="C799" s="2">
        <f t="shared" si="205"/>
        <v>9942486.8499999996</v>
      </c>
      <c r="D799" s="3">
        <f t="shared" si="206"/>
        <v>2528500</v>
      </c>
      <c r="E799" s="3">
        <f>700*972.5</f>
        <v>680750</v>
      </c>
      <c r="F799" s="3">
        <f>1300*972.5</f>
        <v>1264250</v>
      </c>
      <c r="G799" s="3">
        <f>300*972.5</f>
        <v>291750</v>
      </c>
      <c r="H799" s="3">
        <v>0</v>
      </c>
      <c r="I799" s="3">
        <f>300*972.5</f>
        <v>291750</v>
      </c>
      <c r="J799" s="3">
        <v>0</v>
      </c>
      <c r="K799" s="4">
        <v>0</v>
      </c>
      <c r="L799" s="3">
        <v>0</v>
      </c>
      <c r="M799" s="3">
        <v>665.88</v>
      </c>
      <c r="N799" s="3">
        <f t="shared" si="208"/>
        <v>4394808</v>
      </c>
      <c r="O799" s="3">
        <v>0</v>
      </c>
      <c r="P799" s="3">
        <f>O799*1200</f>
        <v>0</v>
      </c>
      <c r="Q799" s="3">
        <v>895.4</v>
      </c>
      <c r="R799" s="3">
        <f t="shared" si="209"/>
        <v>2865280</v>
      </c>
      <c r="S799" s="3">
        <v>0</v>
      </c>
      <c r="T799" s="3">
        <v>0</v>
      </c>
      <c r="U799" s="3">
        <v>153898.85</v>
      </c>
      <c r="V799" s="6">
        <f t="shared" si="207"/>
        <v>6600</v>
      </c>
    </row>
    <row r="800" spans="1:22" ht="25.2" customHeight="1" x14ac:dyDescent="0.3">
      <c r="A800" s="46" t="s">
        <v>1992</v>
      </c>
      <c r="B800" s="1" t="s">
        <v>189</v>
      </c>
      <c r="C800" s="2">
        <f t="shared" si="205"/>
        <v>3941187</v>
      </c>
      <c r="D800" s="3">
        <f t="shared" si="206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885.66</v>
      </c>
      <c r="N800" s="3">
        <f>M800*4450</f>
        <v>3941187</v>
      </c>
      <c r="O800" s="3">
        <v>0</v>
      </c>
      <c r="P800" s="3">
        <v>0</v>
      </c>
      <c r="Q800" s="3">
        <v>0</v>
      </c>
      <c r="R800" s="3">
        <f t="shared" si="209"/>
        <v>0</v>
      </c>
      <c r="S800" s="3">
        <v>0</v>
      </c>
      <c r="T800" s="3">
        <v>0</v>
      </c>
      <c r="U800" s="3">
        <v>0</v>
      </c>
      <c r="V800" s="6">
        <f t="shared" si="207"/>
        <v>4450</v>
      </c>
    </row>
    <row r="801" spans="1:22" ht="25.2" customHeight="1" x14ac:dyDescent="0.3">
      <c r="A801" s="46" t="s">
        <v>1993</v>
      </c>
      <c r="B801" s="52" t="s">
        <v>190</v>
      </c>
      <c r="C801" s="2">
        <f t="shared" si="205"/>
        <v>19232732.699999999</v>
      </c>
      <c r="D801" s="3">
        <f t="shared" si="206"/>
        <v>7004660</v>
      </c>
      <c r="E801" s="3">
        <f>700*2694.1</f>
        <v>1885870</v>
      </c>
      <c r="F801" s="3">
        <f>1300*2694.1</f>
        <v>3502330</v>
      </c>
      <c r="G801" s="3">
        <f>300*2694.1</f>
        <v>808230</v>
      </c>
      <c r="H801" s="3">
        <v>0</v>
      </c>
      <c r="I801" s="3">
        <f>300*2694.1</f>
        <v>808230</v>
      </c>
      <c r="J801" s="3">
        <v>0</v>
      </c>
      <c r="K801" s="4">
        <v>0</v>
      </c>
      <c r="L801" s="3">
        <v>0</v>
      </c>
      <c r="M801" s="3">
        <v>852.4</v>
      </c>
      <c r="N801" s="3">
        <f>M801*6600</f>
        <v>5625840</v>
      </c>
      <c r="O801" s="3">
        <v>0</v>
      </c>
      <c r="P801" s="3">
        <v>0</v>
      </c>
      <c r="Q801" s="3">
        <v>1974</v>
      </c>
      <c r="R801" s="3">
        <f t="shared" si="209"/>
        <v>6316800</v>
      </c>
      <c r="S801" s="3">
        <f>S877</f>
        <v>0</v>
      </c>
      <c r="T801" s="3">
        <v>0</v>
      </c>
      <c r="U801" s="3">
        <v>285432.7</v>
      </c>
      <c r="V801" s="6">
        <f t="shared" si="207"/>
        <v>6600</v>
      </c>
    </row>
    <row r="802" spans="1:22" ht="25.2" customHeight="1" x14ac:dyDescent="0.3">
      <c r="A802" s="46" t="s">
        <v>1994</v>
      </c>
      <c r="B802" s="1" t="s">
        <v>194</v>
      </c>
      <c r="C802" s="2">
        <f t="shared" si="205"/>
        <v>4605144</v>
      </c>
      <c r="D802" s="3">
        <f t="shared" si="206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447.8</v>
      </c>
      <c r="N802" s="3">
        <f>M802*6600</f>
        <v>2955480</v>
      </c>
      <c r="O802" s="3">
        <v>0</v>
      </c>
      <c r="P802" s="3">
        <v>0</v>
      </c>
      <c r="Q802" s="3">
        <v>515.52</v>
      </c>
      <c r="R802" s="3">
        <f t="shared" si="209"/>
        <v>1649664</v>
      </c>
      <c r="S802" s="3">
        <f>S880</f>
        <v>0</v>
      </c>
      <c r="T802" s="3">
        <v>0</v>
      </c>
      <c r="U802" s="3">
        <v>0</v>
      </c>
      <c r="V802" s="6">
        <f t="shared" si="207"/>
        <v>6600</v>
      </c>
    </row>
    <row r="803" spans="1:22" ht="25.2" customHeight="1" x14ac:dyDescent="0.3">
      <c r="A803" s="46" t="s">
        <v>1995</v>
      </c>
      <c r="B803" s="1" t="s">
        <v>191</v>
      </c>
      <c r="C803" s="2">
        <f t="shared" si="205"/>
        <v>6007449.04</v>
      </c>
      <c r="D803" s="3">
        <f t="shared" si="206"/>
        <v>1806220.0000000002</v>
      </c>
      <c r="E803" s="3">
        <f>700*694.7</f>
        <v>486290.00000000006</v>
      </c>
      <c r="F803" s="3">
        <f>1300*694.7</f>
        <v>903110.00000000012</v>
      </c>
      <c r="G803" s="3">
        <f>300*694.7</f>
        <v>208410</v>
      </c>
      <c r="H803" s="3">
        <v>0</v>
      </c>
      <c r="I803" s="3">
        <f>300*694.7</f>
        <v>208410</v>
      </c>
      <c r="J803" s="3">
        <v>0</v>
      </c>
      <c r="K803" s="4">
        <v>0</v>
      </c>
      <c r="L803" s="3">
        <v>0</v>
      </c>
      <c r="M803" s="3">
        <v>372.5</v>
      </c>
      <c r="N803" s="3">
        <f>M803*6600</f>
        <v>2458500</v>
      </c>
      <c r="O803" s="3">
        <v>0</v>
      </c>
      <c r="P803" s="3">
        <v>0</v>
      </c>
      <c r="Q803" s="3">
        <v>501.45</v>
      </c>
      <c r="R803" s="3">
        <f t="shared" si="209"/>
        <v>1604640</v>
      </c>
      <c r="S803" s="3">
        <f>S883</f>
        <v>0</v>
      </c>
      <c r="T803" s="3">
        <v>0</v>
      </c>
      <c r="U803" s="3">
        <v>138089.04</v>
      </c>
      <c r="V803" s="6">
        <f t="shared" si="207"/>
        <v>6600</v>
      </c>
    </row>
    <row r="804" spans="1:22" ht="25.2" customHeight="1" x14ac:dyDescent="0.3">
      <c r="A804" s="46" t="s">
        <v>1996</v>
      </c>
      <c r="B804" s="1" t="s">
        <v>192</v>
      </c>
      <c r="C804" s="2">
        <f t="shared" si="205"/>
        <v>113242.92</v>
      </c>
      <c r="D804" s="3">
        <f t="shared" si="206"/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4">
        <v>0</v>
      </c>
      <c r="L804" s="3">
        <v>0</v>
      </c>
      <c r="M804" s="3">
        <v>0</v>
      </c>
      <c r="N804" s="3">
        <f>M804*6600</f>
        <v>0</v>
      </c>
      <c r="O804" s="3">
        <v>0</v>
      </c>
      <c r="P804" s="3">
        <v>0</v>
      </c>
      <c r="Q804" s="3">
        <v>0</v>
      </c>
      <c r="R804" s="3">
        <f t="shared" si="209"/>
        <v>0</v>
      </c>
      <c r="S804" s="3">
        <f>S884</f>
        <v>0</v>
      </c>
      <c r="T804" s="3">
        <v>0</v>
      </c>
      <c r="U804" s="3">
        <v>113242.92</v>
      </c>
      <c r="V804" s="6" t="e">
        <f t="shared" si="207"/>
        <v>#DIV/0!</v>
      </c>
    </row>
    <row r="805" spans="1:22" ht="25.2" customHeight="1" x14ac:dyDescent="0.3">
      <c r="A805" s="46" t="s">
        <v>1997</v>
      </c>
      <c r="B805" s="1" t="s">
        <v>193</v>
      </c>
      <c r="C805" s="2">
        <f t="shared" si="205"/>
        <v>112953.47</v>
      </c>
      <c r="D805" s="3">
        <f t="shared" si="206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0</v>
      </c>
      <c r="N805" s="3">
        <f>M805*6600</f>
        <v>0</v>
      </c>
      <c r="O805" s="3">
        <v>0</v>
      </c>
      <c r="P805" s="3">
        <v>0</v>
      </c>
      <c r="Q805" s="3">
        <v>0</v>
      </c>
      <c r="R805" s="3">
        <f t="shared" si="209"/>
        <v>0</v>
      </c>
      <c r="S805" s="3">
        <v>0</v>
      </c>
      <c r="T805" s="3">
        <v>0</v>
      </c>
      <c r="U805" s="3">
        <v>112953.47</v>
      </c>
      <c r="V805" s="6" t="e">
        <f t="shared" si="207"/>
        <v>#DIV/0!</v>
      </c>
    </row>
    <row r="806" spans="1:22" ht="45" customHeight="1" x14ac:dyDescent="0.3">
      <c r="A806" s="45" t="s">
        <v>210</v>
      </c>
      <c r="B806" s="45"/>
      <c r="C806" s="2">
        <f t="shared" ref="C806:U806" si="210">SUM(C807)</f>
        <v>4394944</v>
      </c>
      <c r="D806" s="2">
        <f t="shared" si="210"/>
        <v>0</v>
      </c>
      <c r="E806" s="2">
        <f t="shared" si="210"/>
        <v>0</v>
      </c>
      <c r="F806" s="2">
        <f t="shared" si="210"/>
        <v>0</v>
      </c>
      <c r="G806" s="2">
        <f t="shared" si="210"/>
        <v>0</v>
      </c>
      <c r="H806" s="2">
        <f t="shared" si="210"/>
        <v>0</v>
      </c>
      <c r="I806" s="2">
        <f t="shared" si="210"/>
        <v>0</v>
      </c>
      <c r="J806" s="2">
        <f t="shared" si="210"/>
        <v>0</v>
      </c>
      <c r="K806" s="38">
        <f t="shared" si="210"/>
        <v>0</v>
      </c>
      <c r="L806" s="2">
        <f t="shared" si="210"/>
        <v>0</v>
      </c>
      <c r="M806" s="2">
        <f t="shared" si="210"/>
        <v>395.68</v>
      </c>
      <c r="N806" s="2">
        <f t="shared" si="210"/>
        <v>2611488</v>
      </c>
      <c r="O806" s="2">
        <f t="shared" si="210"/>
        <v>0</v>
      </c>
      <c r="P806" s="2">
        <f t="shared" si="210"/>
        <v>0</v>
      </c>
      <c r="Q806" s="2">
        <f t="shared" si="210"/>
        <v>526.08000000000004</v>
      </c>
      <c r="R806" s="2">
        <f t="shared" si="210"/>
        <v>1683456.0000000002</v>
      </c>
      <c r="S806" s="2">
        <f t="shared" si="210"/>
        <v>0</v>
      </c>
      <c r="T806" s="2">
        <f t="shared" si="210"/>
        <v>0</v>
      </c>
      <c r="U806" s="2">
        <f t="shared" si="210"/>
        <v>100000</v>
      </c>
    </row>
    <row r="807" spans="1:22" ht="25.2" customHeight="1" x14ac:dyDescent="0.3">
      <c r="A807" s="46" t="s">
        <v>1998</v>
      </c>
      <c r="B807" s="49" t="s">
        <v>212</v>
      </c>
      <c r="C807" s="2">
        <f>D807+L807+N807+P807+R807+S807+T807+U807</f>
        <v>4394944</v>
      </c>
      <c r="D807" s="3">
        <f>SUM(E807:J807)</f>
        <v>0</v>
      </c>
      <c r="E807" s="3">
        <v>0</v>
      </c>
      <c r="F807" s="3">
        <f>1050*0</f>
        <v>0</v>
      </c>
      <c r="G807" s="3">
        <f>300*0</f>
        <v>0</v>
      </c>
      <c r="H807" s="3">
        <f>400*0</f>
        <v>0</v>
      </c>
      <c r="I807" s="3">
        <f>250*0</f>
        <v>0</v>
      </c>
      <c r="J807" s="3">
        <f>350*0</f>
        <v>0</v>
      </c>
      <c r="K807" s="4">
        <v>0</v>
      </c>
      <c r="L807" s="3">
        <v>0</v>
      </c>
      <c r="M807" s="3">
        <v>395.68</v>
      </c>
      <c r="N807" s="3">
        <f>M807*6600</f>
        <v>2611488</v>
      </c>
      <c r="O807" s="3">
        <v>0</v>
      </c>
      <c r="P807" s="3">
        <v>0</v>
      </c>
      <c r="Q807" s="3">
        <v>526.08000000000004</v>
      </c>
      <c r="R807" s="3">
        <f>Q807*3200</f>
        <v>1683456.0000000002</v>
      </c>
      <c r="S807" s="3">
        <v>0</v>
      </c>
      <c r="T807" s="3">
        <v>0</v>
      </c>
      <c r="U807" s="3">
        <v>100000</v>
      </c>
      <c r="V807" s="6">
        <f>N807/M807</f>
        <v>6600</v>
      </c>
    </row>
    <row r="808" spans="1:22" ht="45" customHeight="1" x14ac:dyDescent="0.3">
      <c r="A808" s="45" t="s">
        <v>209</v>
      </c>
      <c r="B808" s="45"/>
      <c r="C808" s="2">
        <f t="shared" ref="C808:U808" si="211">SUM(C809:C817)</f>
        <v>35450830.329999998</v>
      </c>
      <c r="D808" s="2">
        <f t="shared" si="211"/>
        <v>6038019</v>
      </c>
      <c r="E808" s="2">
        <f t="shared" si="211"/>
        <v>3077991</v>
      </c>
      <c r="F808" s="2">
        <f t="shared" si="211"/>
        <v>2320149</v>
      </c>
      <c r="G808" s="2">
        <f t="shared" si="211"/>
        <v>407409</v>
      </c>
      <c r="H808" s="2">
        <f t="shared" si="211"/>
        <v>0</v>
      </c>
      <c r="I808" s="2">
        <f t="shared" si="211"/>
        <v>232470</v>
      </c>
      <c r="J808" s="2">
        <f t="shared" si="211"/>
        <v>0</v>
      </c>
      <c r="K808" s="38">
        <f t="shared" si="211"/>
        <v>0</v>
      </c>
      <c r="L808" s="2">
        <f t="shared" si="211"/>
        <v>0</v>
      </c>
      <c r="M808" s="2">
        <f t="shared" si="211"/>
        <v>2755.81</v>
      </c>
      <c r="N808" s="2">
        <f t="shared" si="211"/>
        <v>18188346</v>
      </c>
      <c r="O808" s="2">
        <f t="shared" si="211"/>
        <v>0</v>
      </c>
      <c r="P808" s="2">
        <f t="shared" si="211"/>
        <v>0</v>
      </c>
      <c r="Q808" s="2">
        <f t="shared" si="211"/>
        <v>3081.6</v>
      </c>
      <c r="R808" s="2">
        <f t="shared" si="211"/>
        <v>9861120</v>
      </c>
      <c r="S808" s="2">
        <f t="shared" si="211"/>
        <v>0</v>
      </c>
      <c r="T808" s="2">
        <f t="shared" si="211"/>
        <v>0</v>
      </c>
      <c r="U808" s="2">
        <f t="shared" si="211"/>
        <v>1363345.3299999998</v>
      </c>
    </row>
    <row r="809" spans="1:22" ht="25.2" customHeight="1" x14ac:dyDescent="0.3">
      <c r="A809" s="46" t="s">
        <v>1999</v>
      </c>
      <c r="B809" s="49" t="s">
        <v>200</v>
      </c>
      <c r="C809" s="2">
        <f t="shared" ref="C809:C817" si="212">D809+L809+N809+P809+R809+S809+T809+U809</f>
        <v>310000</v>
      </c>
      <c r="D809" s="3">
        <f t="shared" ref="D809:D817" si="213">SUM(E809:J809)</f>
        <v>0</v>
      </c>
      <c r="E809" s="3">
        <v>0</v>
      </c>
      <c r="F809" s="3">
        <v>0</v>
      </c>
      <c r="G809" s="3">
        <v>0</v>
      </c>
      <c r="H809" s="3">
        <f>400*0</f>
        <v>0</v>
      </c>
      <c r="I809" s="3">
        <f>250*0</f>
        <v>0</v>
      </c>
      <c r="J809" s="3">
        <f>350*0</f>
        <v>0</v>
      </c>
      <c r="K809" s="4">
        <v>0</v>
      </c>
      <c r="L809" s="3">
        <v>0</v>
      </c>
      <c r="M809" s="32">
        <v>0</v>
      </c>
      <c r="N809" s="3">
        <f>M809*5500</f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310000</v>
      </c>
      <c r="V809" s="6" t="e">
        <f t="shared" ref="V809:V817" si="214">N809/M809</f>
        <v>#DIV/0!</v>
      </c>
    </row>
    <row r="810" spans="1:22" ht="25.2" customHeight="1" x14ac:dyDescent="0.3">
      <c r="A810" s="46" t="s">
        <v>2000</v>
      </c>
      <c r="B810" s="49" t="s">
        <v>201</v>
      </c>
      <c r="C810" s="2">
        <f t="shared" si="212"/>
        <v>5787327</v>
      </c>
      <c r="D810" s="3">
        <f t="shared" si="213"/>
        <v>1341199</v>
      </c>
      <c r="E810" s="3">
        <f>700*583.13</f>
        <v>408191</v>
      </c>
      <c r="F810" s="3">
        <f>1300*583.13</f>
        <v>758069</v>
      </c>
      <c r="G810" s="3">
        <f>300*583.13</f>
        <v>174939</v>
      </c>
      <c r="H810" s="3">
        <v>0</v>
      </c>
      <c r="I810" s="3">
        <v>0</v>
      </c>
      <c r="J810" s="3">
        <f>350*0</f>
        <v>0</v>
      </c>
      <c r="K810" s="4">
        <v>0</v>
      </c>
      <c r="L810" s="3">
        <v>0</v>
      </c>
      <c r="M810" s="32">
        <v>427.28</v>
      </c>
      <c r="N810" s="3">
        <f>M810*6600</f>
        <v>2820048</v>
      </c>
      <c r="O810" s="3">
        <v>0</v>
      </c>
      <c r="P810" s="3">
        <v>0</v>
      </c>
      <c r="Q810" s="3">
        <v>476.9</v>
      </c>
      <c r="R810" s="3">
        <f t="shared" ref="R810:R817" si="215">Q810*3200</f>
        <v>1526080</v>
      </c>
      <c r="S810" s="3">
        <v>0</v>
      </c>
      <c r="T810" s="3">
        <v>0</v>
      </c>
      <c r="U810" s="3">
        <v>100000</v>
      </c>
      <c r="V810" s="6">
        <f t="shared" si="214"/>
        <v>6600</v>
      </c>
    </row>
    <row r="811" spans="1:22" ht="25.2" customHeight="1" x14ac:dyDescent="0.3">
      <c r="A811" s="46" t="s">
        <v>2001</v>
      </c>
      <c r="B811" s="49" t="s">
        <v>202</v>
      </c>
      <c r="C811" s="2">
        <f t="shared" si="212"/>
        <v>5640650</v>
      </c>
      <c r="D811" s="3">
        <f t="shared" si="213"/>
        <v>853400</v>
      </c>
      <c r="E811" s="3">
        <f>700*426.7</f>
        <v>298690</v>
      </c>
      <c r="F811" s="3">
        <f>1300*426.7</f>
        <v>554710</v>
      </c>
      <c r="G811" s="3">
        <v>0</v>
      </c>
      <c r="H811" s="3">
        <v>0</v>
      </c>
      <c r="I811" s="3">
        <v>0</v>
      </c>
      <c r="J811" s="3">
        <f>350*0</f>
        <v>0</v>
      </c>
      <c r="K811" s="33">
        <v>0</v>
      </c>
      <c r="L811" s="32">
        <v>0</v>
      </c>
      <c r="M811" s="32">
        <v>554.65</v>
      </c>
      <c r="N811" s="3">
        <f>M811*6600</f>
        <v>3660690</v>
      </c>
      <c r="O811" s="32">
        <v>0</v>
      </c>
      <c r="P811" s="32">
        <v>0</v>
      </c>
      <c r="Q811" s="32">
        <v>320.8</v>
      </c>
      <c r="R811" s="3">
        <f t="shared" si="215"/>
        <v>1026560</v>
      </c>
      <c r="S811" s="32">
        <v>0</v>
      </c>
      <c r="T811" s="3">
        <v>0</v>
      </c>
      <c r="U811" s="32">
        <v>100000</v>
      </c>
      <c r="V811" s="6">
        <f t="shared" si="214"/>
        <v>6600</v>
      </c>
    </row>
    <row r="812" spans="1:22" ht="25.2" customHeight="1" x14ac:dyDescent="0.3">
      <c r="A812" s="46" t="s">
        <v>2002</v>
      </c>
      <c r="B812" s="49" t="s">
        <v>204</v>
      </c>
      <c r="C812" s="2">
        <f t="shared" si="212"/>
        <v>4796983.51</v>
      </c>
      <c r="D812" s="3">
        <f t="shared" si="213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f>350*0</f>
        <v>0</v>
      </c>
      <c r="K812" s="4">
        <v>0</v>
      </c>
      <c r="L812" s="3">
        <v>0</v>
      </c>
      <c r="M812" s="3">
        <v>487.88</v>
      </c>
      <c r="N812" s="3">
        <f>M812*6600</f>
        <v>3220008</v>
      </c>
      <c r="O812" s="3">
        <v>0</v>
      </c>
      <c r="P812" s="3">
        <v>0</v>
      </c>
      <c r="Q812" s="3">
        <v>457.2</v>
      </c>
      <c r="R812" s="3">
        <f t="shared" si="215"/>
        <v>1463040</v>
      </c>
      <c r="S812" s="3">
        <v>0</v>
      </c>
      <c r="T812" s="3">
        <v>0</v>
      </c>
      <c r="U812" s="3">
        <v>113935.51</v>
      </c>
      <c r="V812" s="6">
        <f t="shared" si="214"/>
        <v>6600</v>
      </c>
    </row>
    <row r="813" spans="1:22" ht="24.6" customHeight="1" x14ac:dyDescent="0.3">
      <c r="A813" s="46" t="s">
        <v>2003</v>
      </c>
      <c r="B813" s="49" t="s">
        <v>205</v>
      </c>
      <c r="C813" s="2">
        <f t="shared" si="212"/>
        <v>4085718.84</v>
      </c>
      <c r="D813" s="3">
        <f t="shared" si="213"/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f>350*0</f>
        <v>0</v>
      </c>
      <c r="K813" s="4">
        <v>0</v>
      </c>
      <c r="L813" s="3">
        <v>0</v>
      </c>
      <c r="M813" s="3">
        <v>371.5</v>
      </c>
      <c r="N813" s="3">
        <f>M813*6600</f>
        <v>2451900</v>
      </c>
      <c r="O813" s="3">
        <v>0</v>
      </c>
      <c r="P813" s="3">
        <v>0</v>
      </c>
      <c r="Q813" s="3">
        <v>478</v>
      </c>
      <c r="R813" s="3">
        <f t="shared" si="215"/>
        <v>1529600</v>
      </c>
      <c r="S813" s="3">
        <v>0</v>
      </c>
      <c r="T813" s="3">
        <v>0</v>
      </c>
      <c r="U813" s="3">
        <v>104218.84</v>
      </c>
      <c r="V813" s="6">
        <f t="shared" si="214"/>
        <v>6600</v>
      </c>
    </row>
    <row r="814" spans="1:22" ht="25.2" customHeight="1" x14ac:dyDescent="0.3">
      <c r="A814" s="46" t="s">
        <v>2004</v>
      </c>
      <c r="B814" s="49" t="s">
        <v>206</v>
      </c>
      <c r="C814" s="2">
        <f t="shared" si="212"/>
        <v>3436020</v>
      </c>
      <c r="D814" s="3">
        <f t="shared" si="213"/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4">
        <v>0</v>
      </c>
      <c r="L814" s="3">
        <v>0</v>
      </c>
      <c r="M814" s="3">
        <v>273.7</v>
      </c>
      <c r="N814" s="3">
        <f>M814*6600</f>
        <v>1806420</v>
      </c>
      <c r="O814" s="3">
        <v>0</v>
      </c>
      <c r="P814" s="3">
        <v>0</v>
      </c>
      <c r="Q814" s="3">
        <v>478</v>
      </c>
      <c r="R814" s="3">
        <f t="shared" si="215"/>
        <v>1529600</v>
      </c>
      <c r="S814" s="3">
        <v>0</v>
      </c>
      <c r="T814" s="3">
        <v>0</v>
      </c>
      <c r="U814" s="3">
        <v>100000</v>
      </c>
      <c r="V814" s="6">
        <f t="shared" si="214"/>
        <v>6600</v>
      </c>
    </row>
    <row r="815" spans="1:22" ht="25.2" customHeight="1" x14ac:dyDescent="0.3">
      <c r="A815" s="46" t="s">
        <v>2005</v>
      </c>
      <c r="B815" s="49" t="s">
        <v>987</v>
      </c>
      <c r="C815" s="2">
        <f t="shared" si="212"/>
        <v>1931817.83</v>
      </c>
      <c r="D815" s="3">
        <f t="shared" si="213"/>
        <v>1828680</v>
      </c>
      <c r="E815" s="3">
        <f>700*2612.4</f>
        <v>1828680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4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f t="shared" si="215"/>
        <v>0</v>
      </c>
      <c r="S815" s="3">
        <v>0</v>
      </c>
      <c r="T815" s="3">
        <v>0</v>
      </c>
      <c r="U815" s="3">
        <v>103137.83</v>
      </c>
      <c r="V815" s="6" t="e">
        <f t="shared" si="214"/>
        <v>#DIV/0!</v>
      </c>
    </row>
    <row r="816" spans="1:22" ht="25.2" customHeight="1" x14ac:dyDescent="0.3">
      <c r="A816" s="46" t="s">
        <v>2006</v>
      </c>
      <c r="B816" s="49" t="s">
        <v>207</v>
      </c>
      <c r="C816" s="2">
        <f t="shared" si="212"/>
        <v>5424880</v>
      </c>
      <c r="D816" s="3">
        <f t="shared" si="213"/>
        <v>1141140</v>
      </c>
      <c r="E816" s="3">
        <f>700*438.9</f>
        <v>307230</v>
      </c>
      <c r="F816" s="3">
        <f>1300*438.9</f>
        <v>570570</v>
      </c>
      <c r="G816" s="3">
        <f>300*438.9</f>
        <v>131670</v>
      </c>
      <c r="H816" s="3">
        <v>0</v>
      </c>
      <c r="I816" s="3">
        <f>300*438.9</f>
        <v>131670</v>
      </c>
      <c r="J816" s="3">
        <v>0</v>
      </c>
      <c r="K816" s="4">
        <v>0</v>
      </c>
      <c r="L816" s="3">
        <v>0</v>
      </c>
      <c r="M816" s="3">
        <v>371.5</v>
      </c>
      <c r="N816" s="3">
        <f>M816*6600</f>
        <v>2451900</v>
      </c>
      <c r="O816" s="3">
        <v>0</v>
      </c>
      <c r="P816" s="3">
        <v>0</v>
      </c>
      <c r="Q816" s="3">
        <v>478.7</v>
      </c>
      <c r="R816" s="3">
        <f t="shared" si="215"/>
        <v>1531840</v>
      </c>
      <c r="S816" s="3">
        <v>0</v>
      </c>
      <c r="T816" s="3">
        <v>0</v>
      </c>
      <c r="U816" s="3">
        <v>300000</v>
      </c>
      <c r="V816" s="6">
        <f t="shared" si="214"/>
        <v>6600</v>
      </c>
    </row>
    <row r="817" spans="1:22" ht="25.2" customHeight="1" x14ac:dyDescent="0.3">
      <c r="A817" s="46" t="s">
        <v>2007</v>
      </c>
      <c r="B817" s="49" t="s">
        <v>208</v>
      </c>
      <c r="C817" s="2">
        <f t="shared" si="212"/>
        <v>4037433.15</v>
      </c>
      <c r="D817" s="3">
        <f t="shared" si="213"/>
        <v>873600</v>
      </c>
      <c r="E817" s="3">
        <f>700*336</f>
        <v>235200</v>
      </c>
      <c r="F817" s="3">
        <f>1300*336</f>
        <v>436800</v>
      </c>
      <c r="G817" s="3">
        <f>300*336</f>
        <v>100800</v>
      </c>
      <c r="H817" s="3">
        <v>0</v>
      </c>
      <c r="I817" s="3">
        <f>300*336</f>
        <v>100800</v>
      </c>
      <c r="J817" s="3">
        <v>0</v>
      </c>
      <c r="K817" s="4">
        <v>0</v>
      </c>
      <c r="L817" s="3">
        <v>0</v>
      </c>
      <c r="M817" s="3">
        <v>269.3</v>
      </c>
      <c r="N817" s="3">
        <f>M817*6600</f>
        <v>1777380</v>
      </c>
      <c r="O817" s="3">
        <v>0</v>
      </c>
      <c r="P817" s="3">
        <v>0</v>
      </c>
      <c r="Q817" s="3">
        <v>392</v>
      </c>
      <c r="R817" s="3">
        <f t="shared" si="215"/>
        <v>1254400</v>
      </c>
      <c r="S817" s="3">
        <v>0</v>
      </c>
      <c r="T817" s="3">
        <v>0</v>
      </c>
      <c r="U817" s="3">
        <v>132053.15</v>
      </c>
      <c r="V817" s="6">
        <f t="shared" si="214"/>
        <v>6600</v>
      </c>
    </row>
    <row r="818" spans="1:22" ht="45" customHeight="1" x14ac:dyDescent="0.3">
      <c r="A818" s="45" t="s">
        <v>213</v>
      </c>
      <c r="B818" s="45"/>
      <c r="C818" s="2">
        <f t="shared" ref="C818:U818" si="216">SUM(C819:C826)</f>
        <v>35955312</v>
      </c>
      <c r="D818" s="2">
        <f t="shared" si="216"/>
        <v>4656960</v>
      </c>
      <c r="E818" s="2">
        <f t="shared" si="216"/>
        <v>1031380</v>
      </c>
      <c r="F818" s="2">
        <f t="shared" si="216"/>
        <v>1454460</v>
      </c>
      <c r="G818" s="2">
        <f t="shared" si="216"/>
        <v>914670</v>
      </c>
      <c r="H818" s="2">
        <f t="shared" si="216"/>
        <v>554080</v>
      </c>
      <c r="I818" s="2">
        <f t="shared" si="216"/>
        <v>702370</v>
      </c>
      <c r="J818" s="2">
        <f t="shared" si="216"/>
        <v>0</v>
      </c>
      <c r="K818" s="38">
        <f t="shared" si="216"/>
        <v>0</v>
      </c>
      <c r="L818" s="2">
        <f t="shared" si="216"/>
        <v>0</v>
      </c>
      <c r="M818" s="2">
        <f t="shared" si="216"/>
        <v>2877.0999999999995</v>
      </c>
      <c r="N818" s="2">
        <f t="shared" si="216"/>
        <v>17834960</v>
      </c>
      <c r="O818" s="2">
        <f t="shared" si="216"/>
        <v>0</v>
      </c>
      <c r="P818" s="2">
        <f t="shared" si="216"/>
        <v>0</v>
      </c>
      <c r="Q818" s="2">
        <f t="shared" si="216"/>
        <v>3964.84</v>
      </c>
      <c r="R818" s="2">
        <f t="shared" si="216"/>
        <v>12431888</v>
      </c>
      <c r="S818" s="2">
        <f t="shared" si="216"/>
        <v>231504</v>
      </c>
      <c r="T818" s="2">
        <f t="shared" si="216"/>
        <v>0</v>
      </c>
      <c r="U818" s="2">
        <f t="shared" si="216"/>
        <v>800000</v>
      </c>
    </row>
    <row r="819" spans="1:22" ht="25.2" customHeight="1" x14ac:dyDescent="0.3">
      <c r="A819" s="46" t="s">
        <v>2008</v>
      </c>
      <c r="B819" s="49" t="s">
        <v>214</v>
      </c>
      <c r="C819" s="2">
        <f t="shared" ref="C819:C826" si="217">D819+L819+N819+P819+R819+S819+T819+U819</f>
        <v>6193000</v>
      </c>
      <c r="D819" s="3">
        <f t="shared" ref="D819:D826" si="218">SUM(E819:J819)</f>
        <v>1385200</v>
      </c>
      <c r="E819" s="3">
        <v>0</v>
      </c>
      <c r="F819" s="3">
        <f>1050*692.6</f>
        <v>727230</v>
      </c>
      <c r="G819" s="3">
        <f>300*692.6</f>
        <v>207780</v>
      </c>
      <c r="H819" s="3">
        <f>400*692.6</f>
        <v>277040</v>
      </c>
      <c r="I819" s="3">
        <f>250*692.6</f>
        <v>173150</v>
      </c>
      <c r="J819" s="3">
        <f t="shared" ref="J819:J824" si="219">350*0</f>
        <v>0</v>
      </c>
      <c r="K819" s="4">
        <v>0</v>
      </c>
      <c r="L819" s="3">
        <v>0</v>
      </c>
      <c r="M819" s="3">
        <v>525.6</v>
      </c>
      <c r="N819" s="3">
        <f>M819*5500</f>
        <v>2890800</v>
      </c>
      <c r="O819" s="3">
        <v>0</v>
      </c>
      <c r="P819" s="3">
        <v>0</v>
      </c>
      <c r="Q819" s="3">
        <v>639</v>
      </c>
      <c r="R819" s="3">
        <f>Q819*3000</f>
        <v>1917000</v>
      </c>
      <c r="S819" s="3">
        <v>0</v>
      </c>
      <c r="T819" s="3">
        <v>0</v>
      </c>
      <c r="U819" s="3">
        <v>0</v>
      </c>
      <c r="V819" s="6">
        <f t="shared" ref="V819:V826" si="220">N819/M819</f>
        <v>5500</v>
      </c>
    </row>
    <row r="820" spans="1:22" ht="25.2" customHeight="1" x14ac:dyDescent="0.3">
      <c r="A820" s="46" t="s">
        <v>2009</v>
      </c>
      <c r="B820" s="49" t="s">
        <v>215</v>
      </c>
      <c r="C820" s="2">
        <f t="shared" si="217"/>
        <v>6180900</v>
      </c>
      <c r="D820" s="3">
        <f t="shared" si="218"/>
        <v>1385200</v>
      </c>
      <c r="E820" s="3">
        <v>0</v>
      </c>
      <c r="F820" s="3">
        <f>1050*692.6</f>
        <v>727230</v>
      </c>
      <c r="G820" s="3">
        <f>300*692.6</f>
        <v>207780</v>
      </c>
      <c r="H820" s="3">
        <f>400*692.6</f>
        <v>277040</v>
      </c>
      <c r="I820" s="3">
        <f>250*692.6</f>
        <v>173150</v>
      </c>
      <c r="J820" s="3">
        <f t="shared" si="219"/>
        <v>0</v>
      </c>
      <c r="K820" s="4">
        <v>0</v>
      </c>
      <c r="L820" s="3">
        <v>0</v>
      </c>
      <c r="M820" s="3">
        <v>523.4</v>
      </c>
      <c r="N820" s="3">
        <f>M820*5500</f>
        <v>2878700</v>
      </c>
      <c r="O820" s="3">
        <v>0</v>
      </c>
      <c r="P820" s="3">
        <v>0</v>
      </c>
      <c r="Q820" s="3">
        <v>639</v>
      </c>
      <c r="R820" s="3">
        <f>Q820*3000</f>
        <v>1917000</v>
      </c>
      <c r="S820" s="3">
        <v>0</v>
      </c>
      <c r="T820" s="3">
        <v>0</v>
      </c>
      <c r="U820" s="3">
        <v>0</v>
      </c>
      <c r="V820" s="6">
        <f t="shared" si="220"/>
        <v>5500</v>
      </c>
    </row>
    <row r="821" spans="1:22" ht="25.2" customHeight="1" x14ac:dyDescent="0.3">
      <c r="A821" s="46" t="s">
        <v>2010</v>
      </c>
      <c r="B821" s="49" t="s">
        <v>220</v>
      </c>
      <c r="C821" s="2">
        <f t="shared" si="217"/>
        <v>4967000</v>
      </c>
      <c r="D821" s="3">
        <f t="shared" si="218"/>
        <v>615680</v>
      </c>
      <c r="E821" s="3">
        <f>700*473.6</f>
        <v>331520</v>
      </c>
      <c r="F821" s="3">
        <v>0</v>
      </c>
      <c r="G821" s="3">
        <f>300*473.6</f>
        <v>142080</v>
      </c>
      <c r="H821" s="3">
        <v>0</v>
      </c>
      <c r="I821" s="3">
        <f>300*473.6</f>
        <v>142080</v>
      </c>
      <c r="J821" s="3">
        <f t="shared" si="219"/>
        <v>0</v>
      </c>
      <c r="K821" s="4">
        <v>0</v>
      </c>
      <c r="L821" s="3">
        <v>0</v>
      </c>
      <c r="M821" s="3">
        <v>379.8</v>
      </c>
      <c r="N821" s="3">
        <f t="shared" ref="N821:N826" si="221">M821*6600</f>
        <v>2506680</v>
      </c>
      <c r="O821" s="3">
        <v>0</v>
      </c>
      <c r="P821" s="3">
        <v>0</v>
      </c>
      <c r="Q821" s="3">
        <v>545.20000000000005</v>
      </c>
      <c r="R821" s="3">
        <f t="shared" ref="R821:R826" si="222">Q821*3200</f>
        <v>1744640.0000000002</v>
      </c>
      <c r="S821" s="3">
        <v>0</v>
      </c>
      <c r="T821" s="3">
        <v>0</v>
      </c>
      <c r="U821" s="3">
        <v>100000</v>
      </c>
      <c r="V821" s="6">
        <f t="shared" si="220"/>
        <v>6600</v>
      </c>
    </row>
    <row r="822" spans="1:22" ht="25.2" customHeight="1" x14ac:dyDescent="0.3">
      <c r="A822" s="46" t="s">
        <v>2011</v>
      </c>
      <c r="B822" s="49" t="s">
        <v>223</v>
      </c>
      <c r="C822" s="2">
        <f t="shared" si="217"/>
        <v>3694890</v>
      </c>
      <c r="D822" s="3">
        <f t="shared" si="218"/>
        <v>466050</v>
      </c>
      <c r="E822" s="3">
        <f>700*358.5</f>
        <v>250950</v>
      </c>
      <c r="F822" s="3">
        <v>0</v>
      </c>
      <c r="G822" s="3">
        <f>300*358.5</f>
        <v>107550</v>
      </c>
      <c r="H822" s="3">
        <v>0</v>
      </c>
      <c r="I822" s="3">
        <f>300*358.5</f>
        <v>107550</v>
      </c>
      <c r="J822" s="3">
        <f t="shared" si="219"/>
        <v>0</v>
      </c>
      <c r="K822" s="4">
        <v>0</v>
      </c>
      <c r="L822" s="3">
        <v>0</v>
      </c>
      <c r="M822" s="3">
        <v>257</v>
      </c>
      <c r="N822" s="3">
        <f t="shared" si="221"/>
        <v>1696200</v>
      </c>
      <c r="O822" s="3">
        <v>0</v>
      </c>
      <c r="P822" s="3">
        <v>0</v>
      </c>
      <c r="Q822" s="3">
        <v>447.7</v>
      </c>
      <c r="R822" s="3">
        <f t="shared" si="222"/>
        <v>1432640</v>
      </c>
      <c r="S822" s="3">
        <v>0</v>
      </c>
      <c r="T822" s="3">
        <v>0</v>
      </c>
      <c r="U822" s="3">
        <v>100000</v>
      </c>
      <c r="V822" s="6">
        <f t="shared" si="220"/>
        <v>6600</v>
      </c>
    </row>
    <row r="823" spans="1:22" ht="25.2" customHeight="1" x14ac:dyDescent="0.3">
      <c r="A823" s="46" t="s">
        <v>2012</v>
      </c>
      <c r="B823" s="49" t="s">
        <v>221</v>
      </c>
      <c r="C823" s="2">
        <f t="shared" si="217"/>
        <v>3991306</v>
      </c>
      <c r="D823" s="3">
        <f t="shared" si="218"/>
        <v>461240</v>
      </c>
      <c r="E823" s="3">
        <f>700*354.8</f>
        <v>248360</v>
      </c>
      <c r="F823" s="3">
        <v>0</v>
      </c>
      <c r="G823" s="3">
        <f>300*354.8</f>
        <v>106440</v>
      </c>
      <c r="H823" s="3">
        <v>0</v>
      </c>
      <c r="I823" s="3">
        <f>300*354.8</f>
        <v>106440</v>
      </c>
      <c r="J823" s="3">
        <f t="shared" si="219"/>
        <v>0</v>
      </c>
      <c r="K823" s="4">
        <v>0</v>
      </c>
      <c r="L823" s="3">
        <v>0</v>
      </c>
      <c r="M823" s="3">
        <v>255.83</v>
      </c>
      <c r="N823" s="3">
        <f t="shared" si="221"/>
        <v>1688478</v>
      </c>
      <c r="O823" s="3">
        <v>0</v>
      </c>
      <c r="P823" s="3">
        <v>0</v>
      </c>
      <c r="Q823" s="3">
        <v>443.5</v>
      </c>
      <c r="R823" s="3">
        <f t="shared" si="222"/>
        <v>1419200</v>
      </c>
      <c r="S823" s="3">
        <v>122388</v>
      </c>
      <c r="T823" s="3">
        <v>0</v>
      </c>
      <c r="U823" s="3">
        <v>300000</v>
      </c>
      <c r="V823" s="6">
        <f t="shared" si="220"/>
        <v>6600</v>
      </c>
    </row>
    <row r="824" spans="1:22" ht="25.2" customHeight="1" x14ac:dyDescent="0.3">
      <c r="A824" s="46" t="s">
        <v>2013</v>
      </c>
      <c r="B824" s="49" t="s">
        <v>222</v>
      </c>
      <c r="C824" s="2">
        <f t="shared" si="217"/>
        <v>4097080</v>
      </c>
      <c r="D824" s="3">
        <f t="shared" si="218"/>
        <v>143040</v>
      </c>
      <c r="E824" s="3">
        <v>0</v>
      </c>
      <c r="F824" s="3">
        <v>0</v>
      </c>
      <c r="G824" s="3">
        <f>300*476.8</f>
        <v>143040</v>
      </c>
      <c r="H824" s="3">
        <v>0</v>
      </c>
      <c r="I824" s="3">
        <v>0</v>
      </c>
      <c r="J824" s="3">
        <f t="shared" si="219"/>
        <v>0</v>
      </c>
      <c r="K824" s="4">
        <v>0</v>
      </c>
      <c r="L824" s="3">
        <v>0</v>
      </c>
      <c r="M824" s="3">
        <v>365.4</v>
      </c>
      <c r="N824" s="3">
        <f t="shared" si="221"/>
        <v>2411640</v>
      </c>
      <c r="O824" s="3">
        <v>0</v>
      </c>
      <c r="P824" s="3">
        <v>0</v>
      </c>
      <c r="Q824" s="3">
        <v>482</v>
      </c>
      <c r="R824" s="3">
        <f t="shared" si="222"/>
        <v>1542400</v>
      </c>
      <c r="S824" s="3">
        <v>0</v>
      </c>
      <c r="T824" s="3">
        <v>0</v>
      </c>
      <c r="U824" s="3">
        <v>0</v>
      </c>
      <c r="V824" s="6">
        <f t="shared" si="220"/>
        <v>6600</v>
      </c>
    </row>
    <row r="825" spans="1:22" ht="25.2" customHeight="1" x14ac:dyDescent="0.3">
      <c r="A825" s="46" t="s">
        <v>2014</v>
      </c>
      <c r="B825" s="49" t="s">
        <v>225</v>
      </c>
      <c r="C825" s="2">
        <f t="shared" si="217"/>
        <v>3292960</v>
      </c>
      <c r="D825" s="3">
        <f t="shared" si="218"/>
        <v>0</v>
      </c>
      <c r="E825" s="3">
        <v>0</v>
      </c>
      <c r="F825" s="3">
        <f>800*0</f>
        <v>0</v>
      </c>
      <c r="G825" s="3">
        <v>0</v>
      </c>
      <c r="H825" s="3">
        <f>400*0</f>
        <v>0</v>
      </c>
      <c r="I825" s="3">
        <v>0</v>
      </c>
      <c r="J825" s="3">
        <v>0</v>
      </c>
      <c r="K825" s="4">
        <v>0</v>
      </c>
      <c r="L825" s="3">
        <v>0</v>
      </c>
      <c r="M825" s="3">
        <v>301.60000000000002</v>
      </c>
      <c r="N825" s="3">
        <f t="shared" si="221"/>
        <v>1990560.0000000002</v>
      </c>
      <c r="O825" s="3">
        <v>0</v>
      </c>
      <c r="P825" s="3">
        <v>0</v>
      </c>
      <c r="Q825" s="3">
        <v>407</v>
      </c>
      <c r="R825" s="3">
        <f t="shared" si="222"/>
        <v>1302400</v>
      </c>
      <c r="S825" s="3">
        <v>0</v>
      </c>
      <c r="T825" s="3">
        <v>0</v>
      </c>
      <c r="U825" s="3">
        <v>0</v>
      </c>
      <c r="V825" s="6">
        <f t="shared" si="220"/>
        <v>6600</v>
      </c>
    </row>
    <row r="826" spans="1:22" ht="24.6" customHeight="1" x14ac:dyDescent="0.3">
      <c r="A826" s="46" t="s">
        <v>1632</v>
      </c>
      <c r="B826" s="49" t="s">
        <v>224</v>
      </c>
      <c r="C826" s="2">
        <f t="shared" si="217"/>
        <v>3538176</v>
      </c>
      <c r="D826" s="3">
        <f t="shared" si="218"/>
        <v>200550</v>
      </c>
      <c r="E826" s="3">
        <f>700*286.5</f>
        <v>200550</v>
      </c>
      <c r="F826" s="3">
        <v>0</v>
      </c>
      <c r="G826" s="3">
        <v>0</v>
      </c>
      <c r="H826" s="3">
        <v>0</v>
      </c>
      <c r="I826" s="3">
        <v>0</v>
      </c>
      <c r="J826" s="3">
        <f>350*0</f>
        <v>0</v>
      </c>
      <c r="K826" s="4">
        <v>0</v>
      </c>
      <c r="L826" s="3">
        <v>0</v>
      </c>
      <c r="M826" s="3">
        <v>268.47000000000003</v>
      </c>
      <c r="N826" s="3">
        <f t="shared" si="221"/>
        <v>1771902.0000000002</v>
      </c>
      <c r="O826" s="3">
        <v>0</v>
      </c>
      <c r="P826" s="3">
        <v>0</v>
      </c>
      <c r="Q826" s="3">
        <v>361.44</v>
      </c>
      <c r="R826" s="3">
        <f t="shared" si="222"/>
        <v>1156608</v>
      </c>
      <c r="S826" s="3">
        <v>109116</v>
      </c>
      <c r="T826" s="3">
        <v>0</v>
      </c>
      <c r="U826" s="3">
        <v>300000</v>
      </c>
      <c r="V826" s="6">
        <f t="shared" si="220"/>
        <v>6600</v>
      </c>
    </row>
    <row r="827" spans="1:22" ht="45" customHeight="1" x14ac:dyDescent="0.3">
      <c r="A827" s="45" t="s">
        <v>230</v>
      </c>
      <c r="B827" s="45"/>
      <c r="C827" s="2">
        <f t="shared" ref="C827:U827" si="223">SUM(C828:C830)</f>
        <v>11513482.970000001</v>
      </c>
      <c r="D827" s="2">
        <f t="shared" si="223"/>
        <v>1868310</v>
      </c>
      <c r="E827" s="2">
        <f t="shared" si="223"/>
        <v>622965</v>
      </c>
      <c r="F827" s="2">
        <f t="shared" si="223"/>
        <v>432900</v>
      </c>
      <c r="G827" s="2">
        <f t="shared" si="223"/>
        <v>434070</v>
      </c>
      <c r="H827" s="2">
        <f t="shared" si="223"/>
        <v>0</v>
      </c>
      <c r="I827" s="2">
        <f t="shared" si="223"/>
        <v>378375</v>
      </c>
      <c r="J827" s="2">
        <f t="shared" si="223"/>
        <v>0</v>
      </c>
      <c r="K827" s="38">
        <f t="shared" si="223"/>
        <v>0</v>
      </c>
      <c r="L827" s="2">
        <f t="shared" si="223"/>
        <v>0</v>
      </c>
      <c r="M827" s="2">
        <f t="shared" si="223"/>
        <v>772</v>
      </c>
      <c r="N827" s="2">
        <f t="shared" si="223"/>
        <v>5095200</v>
      </c>
      <c r="O827" s="2">
        <f t="shared" si="223"/>
        <v>0</v>
      </c>
      <c r="P827" s="2">
        <f t="shared" si="223"/>
        <v>0</v>
      </c>
      <c r="Q827" s="2">
        <f t="shared" si="223"/>
        <v>1418.9</v>
      </c>
      <c r="R827" s="2">
        <f t="shared" si="223"/>
        <v>4343300</v>
      </c>
      <c r="S827" s="2">
        <f t="shared" si="223"/>
        <v>0</v>
      </c>
      <c r="T827" s="2">
        <f t="shared" si="223"/>
        <v>0</v>
      </c>
      <c r="U827" s="2">
        <f t="shared" si="223"/>
        <v>206672.97</v>
      </c>
      <c r="V827" s="44">
        <f>C827</f>
        <v>11513482.970000001</v>
      </c>
    </row>
    <row r="828" spans="1:22" ht="24.6" customHeight="1" x14ac:dyDescent="0.3">
      <c r="A828" s="46" t="s">
        <v>1633</v>
      </c>
      <c r="B828" s="49" t="s">
        <v>228</v>
      </c>
      <c r="C828" s="2">
        <f>D828+L828+N828+P828+R828+S828+T828+U828</f>
        <v>4060210</v>
      </c>
      <c r="D828" s="3">
        <f>SUM(E828:J828)</f>
        <v>1002510</v>
      </c>
      <c r="E828" s="3">
        <f>350*1113.9</f>
        <v>389865.00000000006</v>
      </c>
      <c r="F828" s="3">
        <v>0</v>
      </c>
      <c r="G828" s="3">
        <f>300*1113.9</f>
        <v>334170</v>
      </c>
      <c r="H828" s="3">
        <v>0</v>
      </c>
      <c r="I828" s="3">
        <f>250*1113.9</f>
        <v>278475</v>
      </c>
      <c r="J828" s="3">
        <f>350*0</f>
        <v>0</v>
      </c>
      <c r="K828" s="4">
        <v>0</v>
      </c>
      <c r="L828" s="3">
        <v>0</v>
      </c>
      <c r="M828" s="3">
        <v>0</v>
      </c>
      <c r="N828" s="3">
        <f>M828*5500</f>
        <v>0</v>
      </c>
      <c r="O828" s="3">
        <v>0</v>
      </c>
      <c r="P828" s="3">
        <v>0</v>
      </c>
      <c r="Q828" s="3">
        <v>985.9</v>
      </c>
      <c r="R828" s="3">
        <f>Q828*3000</f>
        <v>2957700</v>
      </c>
      <c r="S828" s="3">
        <v>0</v>
      </c>
      <c r="T828" s="3">
        <v>0</v>
      </c>
      <c r="U828" s="3">
        <v>100000</v>
      </c>
      <c r="V828" s="6" t="e">
        <f>N828/M828</f>
        <v>#DIV/0!</v>
      </c>
    </row>
    <row r="829" spans="1:22" ht="25.2" customHeight="1" x14ac:dyDescent="0.3">
      <c r="A829" s="46" t="s">
        <v>1634</v>
      </c>
      <c r="B829" s="49" t="s">
        <v>1181</v>
      </c>
      <c r="C829" s="2">
        <f>D829+L829+N829+P829+R829+S829+T829+U829</f>
        <v>3300000</v>
      </c>
      <c r="D829" s="3">
        <f>SUM(E829:J829)</f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f>350*0</f>
        <v>0</v>
      </c>
      <c r="K829" s="4">
        <v>0</v>
      </c>
      <c r="L829" s="3">
        <v>0</v>
      </c>
      <c r="M829" s="3">
        <v>500</v>
      </c>
      <c r="N829" s="3">
        <f>M829*6600</f>
        <v>3300000</v>
      </c>
      <c r="O829" s="3">
        <v>0</v>
      </c>
      <c r="P829" s="3">
        <v>0</v>
      </c>
      <c r="Q829" s="3">
        <v>0</v>
      </c>
      <c r="R829" s="3">
        <f>Q829*3200</f>
        <v>0</v>
      </c>
      <c r="S829" s="3">
        <v>0</v>
      </c>
      <c r="T829" s="3">
        <v>0</v>
      </c>
      <c r="U829" s="3">
        <v>0</v>
      </c>
      <c r="V829" s="6">
        <f>N829/M829</f>
        <v>6600</v>
      </c>
    </row>
    <row r="830" spans="1:22" ht="25.2" customHeight="1" x14ac:dyDescent="0.3">
      <c r="A830" s="46" t="s">
        <v>1635</v>
      </c>
      <c r="B830" s="49" t="s">
        <v>229</v>
      </c>
      <c r="C830" s="2">
        <f>D830+L830+N830+P830+R830+S830+T830+U830</f>
        <v>4153272.97</v>
      </c>
      <c r="D830" s="3">
        <f>SUM(E830:J830)</f>
        <v>865800</v>
      </c>
      <c r="E830" s="3">
        <f>700*333</f>
        <v>233100</v>
      </c>
      <c r="F830" s="3">
        <f>1300*333</f>
        <v>432900</v>
      </c>
      <c r="G830" s="3">
        <f>300*333</f>
        <v>99900</v>
      </c>
      <c r="H830" s="3">
        <v>0</v>
      </c>
      <c r="I830" s="3">
        <f>300*333</f>
        <v>99900</v>
      </c>
      <c r="J830" s="3">
        <f>350*0</f>
        <v>0</v>
      </c>
      <c r="K830" s="4">
        <v>0</v>
      </c>
      <c r="L830" s="3">
        <v>0</v>
      </c>
      <c r="M830" s="3">
        <v>272</v>
      </c>
      <c r="N830" s="3">
        <f>M830*6600</f>
        <v>1795200</v>
      </c>
      <c r="O830" s="3">
        <v>0</v>
      </c>
      <c r="P830" s="3">
        <v>0</v>
      </c>
      <c r="Q830" s="3">
        <v>433</v>
      </c>
      <c r="R830" s="3">
        <f>Q830*3200</f>
        <v>1385600</v>
      </c>
      <c r="S830" s="3">
        <v>0</v>
      </c>
      <c r="T830" s="3">
        <v>0</v>
      </c>
      <c r="U830" s="3">
        <v>106672.97</v>
      </c>
      <c r="V830" s="6">
        <f>N830/M830</f>
        <v>6600</v>
      </c>
    </row>
    <row r="831" spans="1:22" ht="45" customHeight="1" x14ac:dyDescent="0.3">
      <c r="A831" s="45" t="s">
        <v>255</v>
      </c>
      <c r="B831" s="45"/>
      <c r="C831" s="2">
        <f t="shared" ref="C831:U831" si="224">SUM(C832:C848)</f>
        <v>147821086.71000001</v>
      </c>
      <c r="D831" s="2">
        <f t="shared" si="224"/>
        <v>40912992</v>
      </c>
      <c r="E831" s="2">
        <f t="shared" si="224"/>
        <v>10222604</v>
      </c>
      <c r="F831" s="2">
        <f t="shared" si="224"/>
        <v>20988446</v>
      </c>
      <c r="G831" s="2">
        <f t="shared" si="224"/>
        <v>4898676</v>
      </c>
      <c r="H831" s="2">
        <f t="shared" si="224"/>
        <v>0</v>
      </c>
      <c r="I831" s="2">
        <f t="shared" si="224"/>
        <v>4803266</v>
      </c>
      <c r="J831" s="2">
        <f t="shared" si="224"/>
        <v>0</v>
      </c>
      <c r="K831" s="38">
        <f t="shared" si="224"/>
        <v>0</v>
      </c>
      <c r="L831" s="2">
        <f t="shared" si="224"/>
        <v>0</v>
      </c>
      <c r="M831" s="2">
        <f t="shared" si="224"/>
        <v>8937.1999999999989</v>
      </c>
      <c r="N831" s="2">
        <f t="shared" si="224"/>
        <v>50105390</v>
      </c>
      <c r="O831" s="2">
        <f t="shared" si="224"/>
        <v>1939.0000000000002</v>
      </c>
      <c r="P831" s="2">
        <f t="shared" si="224"/>
        <v>2326800</v>
      </c>
      <c r="Q831" s="2">
        <f t="shared" si="224"/>
        <v>16183.900000000001</v>
      </c>
      <c r="R831" s="2">
        <f t="shared" si="224"/>
        <v>51047680</v>
      </c>
      <c r="S831" s="2">
        <f t="shared" si="224"/>
        <v>1880443.6</v>
      </c>
      <c r="T831" s="2">
        <f t="shared" si="224"/>
        <v>0</v>
      </c>
      <c r="U831" s="2">
        <f t="shared" si="224"/>
        <v>1547781.1099999999</v>
      </c>
    </row>
    <row r="832" spans="1:22" ht="25.2" customHeight="1" x14ac:dyDescent="0.3">
      <c r="A832" s="46" t="s">
        <v>1636</v>
      </c>
      <c r="B832" s="49" t="s">
        <v>913</v>
      </c>
      <c r="C832" s="2">
        <f t="shared" ref="C832:C848" si="225">D832+L832+N832+P832+R832+S832+T832+U832</f>
        <v>5382000</v>
      </c>
      <c r="D832" s="3">
        <f t="shared" ref="D832:D848" si="226">SUM(E832:J832)</f>
        <v>5382000</v>
      </c>
      <c r="E832" s="3">
        <f>700*2070</f>
        <v>1449000</v>
      </c>
      <c r="F832" s="3">
        <f>1300*2070</f>
        <v>2691000</v>
      </c>
      <c r="G832" s="3">
        <f>300*2070</f>
        <v>621000</v>
      </c>
      <c r="H832" s="3">
        <v>0</v>
      </c>
      <c r="I832" s="3">
        <f>300*2070</f>
        <v>621000</v>
      </c>
      <c r="J832" s="3">
        <v>0</v>
      </c>
      <c r="K832" s="33">
        <v>0</v>
      </c>
      <c r="L832" s="32">
        <v>0</v>
      </c>
      <c r="M832" s="32">
        <v>0</v>
      </c>
      <c r="N832" s="32">
        <v>0</v>
      </c>
      <c r="O832" s="32">
        <v>0</v>
      </c>
      <c r="P832" s="32">
        <v>0</v>
      </c>
      <c r="Q832" s="32">
        <v>0</v>
      </c>
      <c r="R832" s="3">
        <f>Q832*3200</f>
        <v>0</v>
      </c>
      <c r="S832" s="32">
        <v>0</v>
      </c>
      <c r="T832" s="32">
        <v>0</v>
      </c>
      <c r="U832" s="32">
        <v>0</v>
      </c>
      <c r="V832" s="6" t="e">
        <f t="shared" ref="V832:V841" si="227">N832/M832</f>
        <v>#DIV/0!</v>
      </c>
    </row>
    <row r="833" spans="1:22" ht="25.2" customHeight="1" x14ac:dyDescent="0.3">
      <c r="A833" s="46" t="s">
        <v>1637</v>
      </c>
      <c r="B833" s="49" t="s">
        <v>900</v>
      </c>
      <c r="C833" s="2">
        <f t="shared" si="225"/>
        <v>3280200</v>
      </c>
      <c r="D833" s="3">
        <f t="shared" si="226"/>
        <v>0</v>
      </c>
      <c r="E833" s="32">
        <v>0</v>
      </c>
      <c r="F833" s="32">
        <v>0</v>
      </c>
      <c r="G833" s="32">
        <v>0</v>
      </c>
      <c r="H833" s="32">
        <v>0</v>
      </c>
      <c r="I833" s="32">
        <v>0</v>
      </c>
      <c r="J833" s="32">
        <v>0</v>
      </c>
      <c r="K833" s="33">
        <v>0</v>
      </c>
      <c r="L833" s="32">
        <v>0</v>
      </c>
      <c r="M833" s="32">
        <v>497</v>
      </c>
      <c r="N833" s="32">
        <f>M833*6600</f>
        <v>3280200</v>
      </c>
      <c r="O833" s="32">
        <v>0</v>
      </c>
      <c r="P833" s="32">
        <v>0</v>
      </c>
      <c r="Q833" s="32">
        <v>0</v>
      </c>
      <c r="R833" s="3">
        <f>Q833*3200</f>
        <v>0</v>
      </c>
      <c r="S833" s="32">
        <v>0</v>
      </c>
      <c r="T833" s="32">
        <v>0</v>
      </c>
      <c r="U833" s="32">
        <v>0</v>
      </c>
      <c r="V833" s="6">
        <f t="shared" si="227"/>
        <v>6600</v>
      </c>
    </row>
    <row r="834" spans="1:22" ht="25.2" customHeight="1" x14ac:dyDescent="0.3">
      <c r="A834" s="46" t="s">
        <v>1638</v>
      </c>
      <c r="B834" s="53" t="s">
        <v>235</v>
      </c>
      <c r="C834" s="2">
        <f t="shared" si="225"/>
        <v>17698500</v>
      </c>
      <c r="D834" s="3">
        <f t="shared" si="226"/>
        <v>9053200</v>
      </c>
      <c r="E834" s="3">
        <f>700*3482</f>
        <v>2437400</v>
      </c>
      <c r="F834" s="3">
        <f>1300*3482</f>
        <v>4526600</v>
      </c>
      <c r="G834" s="3">
        <f>300*3482</f>
        <v>1044600</v>
      </c>
      <c r="H834" s="3">
        <v>0</v>
      </c>
      <c r="I834" s="3">
        <f>300*3482</f>
        <v>1044600</v>
      </c>
      <c r="J834" s="3">
        <f t="shared" ref="J834:J840" si="228">350*0</f>
        <v>0</v>
      </c>
      <c r="K834" s="4">
        <v>0</v>
      </c>
      <c r="L834" s="3">
        <v>0</v>
      </c>
      <c r="M834" s="3">
        <v>0</v>
      </c>
      <c r="N834" s="3">
        <v>0</v>
      </c>
      <c r="O834" s="3">
        <v>817.75</v>
      </c>
      <c r="P834" s="3">
        <f>O834*1200</f>
        <v>981300</v>
      </c>
      <c r="Q834" s="3">
        <v>2395</v>
      </c>
      <c r="R834" s="3">
        <f>Q834*3200</f>
        <v>7664000</v>
      </c>
      <c r="S834" s="3">
        <v>0</v>
      </c>
      <c r="T834" s="3">
        <v>0</v>
      </c>
      <c r="U834" s="3">
        <v>0</v>
      </c>
      <c r="V834" s="6" t="e">
        <f t="shared" si="227"/>
        <v>#DIV/0!</v>
      </c>
    </row>
    <row r="835" spans="1:22" ht="25.2" customHeight="1" x14ac:dyDescent="0.3">
      <c r="A835" s="46" t="s">
        <v>1639</v>
      </c>
      <c r="B835" s="53" t="s">
        <v>236</v>
      </c>
      <c r="C835" s="2">
        <f t="shared" si="225"/>
        <v>9530400</v>
      </c>
      <c r="D835" s="3">
        <f t="shared" si="226"/>
        <v>1880000</v>
      </c>
      <c r="E835" s="3">
        <f>700*940</f>
        <v>658000</v>
      </c>
      <c r="F835" s="3">
        <f>1300*940</f>
        <v>1222000</v>
      </c>
      <c r="G835" s="3">
        <v>0</v>
      </c>
      <c r="H835" s="3">
        <f>400*0</f>
        <v>0</v>
      </c>
      <c r="I835" s="3">
        <v>0</v>
      </c>
      <c r="J835" s="3">
        <f t="shared" si="228"/>
        <v>0</v>
      </c>
      <c r="K835" s="4">
        <v>0</v>
      </c>
      <c r="L835" s="3">
        <v>0</v>
      </c>
      <c r="M835" s="3">
        <v>690</v>
      </c>
      <c r="N835" s="3">
        <f>M835*6600</f>
        <v>4554000</v>
      </c>
      <c r="O835" s="3">
        <v>0</v>
      </c>
      <c r="P835" s="3">
        <v>0</v>
      </c>
      <c r="Q835" s="3">
        <v>827</v>
      </c>
      <c r="R835" s="3">
        <f>Q835*3200</f>
        <v>2646400</v>
      </c>
      <c r="S835" s="3">
        <v>250000</v>
      </c>
      <c r="T835" s="3">
        <v>0</v>
      </c>
      <c r="U835" s="3">
        <v>200000</v>
      </c>
      <c r="V835" s="6">
        <f t="shared" si="227"/>
        <v>6600</v>
      </c>
    </row>
    <row r="836" spans="1:22" ht="24.6" customHeight="1" x14ac:dyDescent="0.3">
      <c r="A836" s="46" t="s">
        <v>1640</v>
      </c>
      <c r="B836" s="53" t="s">
        <v>234</v>
      </c>
      <c r="C836" s="2">
        <f t="shared" si="225"/>
        <v>6309640</v>
      </c>
      <c r="D836" s="3">
        <f t="shared" si="226"/>
        <v>454200</v>
      </c>
      <c r="E836" s="3">
        <v>0</v>
      </c>
      <c r="F836" s="3">
        <v>0</v>
      </c>
      <c r="G836" s="3">
        <f>300*757</f>
        <v>227100</v>
      </c>
      <c r="H836" s="3">
        <f>400*0</f>
        <v>0</v>
      </c>
      <c r="I836" s="3">
        <f>300*757</f>
        <v>227100</v>
      </c>
      <c r="J836" s="3">
        <f t="shared" si="228"/>
        <v>0</v>
      </c>
      <c r="K836" s="4">
        <v>0</v>
      </c>
      <c r="L836" s="3">
        <v>0</v>
      </c>
      <c r="M836" s="3">
        <v>544.4</v>
      </c>
      <c r="N836" s="3">
        <f>M836*6600</f>
        <v>3593040</v>
      </c>
      <c r="O836" s="3">
        <v>0</v>
      </c>
      <c r="P836" s="3">
        <v>0</v>
      </c>
      <c r="Q836" s="3">
        <v>707</v>
      </c>
      <c r="R836" s="3">
        <f>Q836*3200</f>
        <v>2262400</v>
      </c>
      <c r="S836" s="3">
        <v>0</v>
      </c>
      <c r="T836" s="3">
        <v>0</v>
      </c>
      <c r="U836" s="3">
        <v>0</v>
      </c>
      <c r="V836" s="6">
        <f t="shared" si="227"/>
        <v>6600</v>
      </c>
    </row>
    <row r="837" spans="1:22" ht="25.2" customHeight="1" x14ac:dyDescent="0.3">
      <c r="A837" s="46" t="s">
        <v>1641</v>
      </c>
      <c r="B837" s="53" t="s">
        <v>241</v>
      </c>
      <c r="C837" s="2">
        <f t="shared" si="225"/>
        <v>7355120</v>
      </c>
      <c r="D837" s="3">
        <f t="shared" si="226"/>
        <v>3053120</v>
      </c>
      <c r="E837" s="3">
        <v>0</v>
      </c>
      <c r="F837" s="3">
        <f>1050*1908.2</f>
        <v>2003610</v>
      </c>
      <c r="G837" s="3">
        <f>300*1908.2</f>
        <v>572460</v>
      </c>
      <c r="H837" s="3">
        <f>400*0</f>
        <v>0</v>
      </c>
      <c r="I837" s="3">
        <f>250*1908.2</f>
        <v>477050</v>
      </c>
      <c r="J837" s="3">
        <f t="shared" si="228"/>
        <v>0</v>
      </c>
      <c r="K837" s="4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1434</v>
      </c>
      <c r="R837" s="3">
        <f>Q837*3000</f>
        <v>4302000</v>
      </c>
      <c r="S837" s="3">
        <v>0</v>
      </c>
      <c r="T837" s="3">
        <v>0</v>
      </c>
      <c r="U837" s="3">
        <v>0</v>
      </c>
      <c r="V837" s="6" t="e">
        <f t="shared" si="227"/>
        <v>#DIV/0!</v>
      </c>
    </row>
    <row r="838" spans="1:22" ht="25.2" customHeight="1" x14ac:dyDescent="0.3">
      <c r="A838" s="46" t="s">
        <v>1642</v>
      </c>
      <c r="B838" s="53" t="s">
        <v>243</v>
      </c>
      <c r="C838" s="2">
        <f t="shared" si="225"/>
        <v>8400145.7400000002</v>
      </c>
      <c r="D838" s="3">
        <f t="shared" si="226"/>
        <v>1985958</v>
      </c>
      <c r="E838" s="3">
        <f>700*763.83</f>
        <v>534681</v>
      </c>
      <c r="F838" s="3">
        <f>1300*763.83</f>
        <v>992979</v>
      </c>
      <c r="G838" s="3">
        <f>300*763.83</f>
        <v>229149</v>
      </c>
      <c r="H838" s="3">
        <v>0</v>
      </c>
      <c r="I838" s="3">
        <f>300*763.83</f>
        <v>229149</v>
      </c>
      <c r="J838" s="3">
        <f t="shared" si="228"/>
        <v>0</v>
      </c>
      <c r="K838" s="4">
        <v>0</v>
      </c>
      <c r="L838" s="3">
        <v>0</v>
      </c>
      <c r="M838" s="3">
        <v>620</v>
      </c>
      <c r="N838" s="3">
        <f>M838*6600</f>
        <v>4092000</v>
      </c>
      <c r="O838" s="3">
        <v>42.7</v>
      </c>
      <c r="P838" s="3">
        <f>O838*1200</f>
        <v>51240</v>
      </c>
      <c r="Q838" s="3">
        <v>672</v>
      </c>
      <c r="R838" s="3">
        <f>Q838*3200</f>
        <v>2150400</v>
      </c>
      <c r="S838" s="3">
        <v>0</v>
      </c>
      <c r="T838" s="3">
        <v>0</v>
      </c>
      <c r="U838" s="3">
        <v>120547.74</v>
      </c>
      <c r="V838" s="6">
        <f t="shared" si="227"/>
        <v>6600</v>
      </c>
    </row>
    <row r="839" spans="1:22" ht="25.2" customHeight="1" x14ac:dyDescent="0.3">
      <c r="A839" s="46" t="s">
        <v>1643</v>
      </c>
      <c r="B839" s="53" t="s">
        <v>247</v>
      </c>
      <c r="C839" s="2">
        <f t="shared" si="225"/>
        <v>14600400</v>
      </c>
      <c r="D839" s="3">
        <f t="shared" si="226"/>
        <v>0</v>
      </c>
      <c r="E839" s="3">
        <v>0</v>
      </c>
      <c r="F839" s="3">
        <v>0</v>
      </c>
      <c r="G839" s="3">
        <v>0</v>
      </c>
      <c r="H839" s="3">
        <f>400*0</f>
        <v>0</v>
      </c>
      <c r="I839" s="3">
        <v>0</v>
      </c>
      <c r="J839" s="3">
        <f t="shared" si="228"/>
        <v>0</v>
      </c>
      <c r="K839" s="4">
        <v>0</v>
      </c>
      <c r="L839" s="3">
        <v>0</v>
      </c>
      <c r="M839" s="3">
        <v>1212</v>
      </c>
      <c r="N839" s="3">
        <f>M839*5500</f>
        <v>6666000</v>
      </c>
      <c r="O839" s="3">
        <v>937</v>
      </c>
      <c r="P839" s="3">
        <f>O839*1200</f>
        <v>1124400</v>
      </c>
      <c r="Q839" s="3">
        <v>2270</v>
      </c>
      <c r="R839" s="3">
        <f>Q839*3000</f>
        <v>6810000</v>
      </c>
      <c r="S839" s="3">
        <v>0</v>
      </c>
      <c r="T839" s="3">
        <v>0</v>
      </c>
      <c r="U839" s="3">
        <v>0</v>
      </c>
      <c r="V839" s="6">
        <f t="shared" si="227"/>
        <v>5500</v>
      </c>
    </row>
    <row r="840" spans="1:22" ht="25.2" customHeight="1" x14ac:dyDescent="0.3">
      <c r="A840" s="46" t="s">
        <v>1644</v>
      </c>
      <c r="B840" s="53" t="s">
        <v>245</v>
      </c>
      <c r="C840" s="2">
        <f t="shared" si="225"/>
        <v>5863040</v>
      </c>
      <c r="D840" s="3">
        <f t="shared" si="226"/>
        <v>0</v>
      </c>
      <c r="E840" s="3">
        <v>0</v>
      </c>
      <c r="F840" s="3">
        <v>0</v>
      </c>
      <c r="G840" s="3">
        <v>0</v>
      </c>
      <c r="H840" s="3">
        <f>400*0</f>
        <v>0</v>
      </c>
      <c r="I840" s="3">
        <v>0</v>
      </c>
      <c r="J840" s="3">
        <f t="shared" si="228"/>
        <v>0</v>
      </c>
      <c r="K840" s="4">
        <v>0</v>
      </c>
      <c r="L840" s="3">
        <v>0</v>
      </c>
      <c r="M840" s="3">
        <v>0</v>
      </c>
      <c r="N840" s="3">
        <f>M840*5500</f>
        <v>0</v>
      </c>
      <c r="O840" s="3">
        <v>0</v>
      </c>
      <c r="P840" s="3">
        <v>0</v>
      </c>
      <c r="Q840" s="3">
        <v>1832.2</v>
      </c>
      <c r="R840" s="3">
        <f t="shared" ref="R840:R848" si="229">Q840*3200</f>
        <v>5863040</v>
      </c>
      <c r="S840" s="3">
        <v>0</v>
      </c>
      <c r="T840" s="3">
        <v>0</v>
      </c>
      <c r="U840" s="3">
        <v>0</v>
      </c>
      <c r="V840" s="6" t="e">
        <f t="shared" si="227"/>
        <v>#DIV/0!</v>
      </c>
    </row>
    <row r="841" spans="1:22" ht="25.2" customHeight="1" x14ac:dyDescent="0.3">
      <c r="A841" s="46" t="s">
        <v>1645</v>
      </c>
      <c r="B841" s="53" t="s">
        <v>248</v>
      </c>
      <c r="C841" s="2">
        <f t="shared" si="225"/>
        <v>4316400</v>
      </c>
      <c r="D841" s="3">
        <f t="shared" si="226"/>
        <v>0</v>
      </c>
      <c r="E841" s="32">
        <v>0</v>
      </c>
      <c r="F841" s="32">
        <v>0</v>
      </c>
      <c r="G841" s="32">
        <v>0</v>
      </c>
      <c r="H841" s="32">
        <v>0</v>
      </c>
      <c r="I841" s="32">
        <v>0</v>
      </c>
      <c r="J841" s="32">
        <v>0</v>
      </c>
      <c r="K841" s="4">
        <v>0</v>
      </c>
      <c r="L841" s="3">
        <v>0</v>
      </c>
      <c r="M841" s="3">
        <v>654</v>
      </c>
      <c r="N841" s="3">
        <f>M841*6600</f>
        <v>4316400</v>
      </c>
      <c r="O841" s="3">
        <v>0</v>
      </c>
      <c r="P841" s="3">
        <v>0</v>
      </c>
      <c r="Q841" s="3">
        <v>0</v>
      </c>
      <c r="R841" s="3">
        <f t="shared" si="229"/>
        <v>0</v>
      </c>
      <c r="S841" s="3">
        <v>0</v>
      </c>
      <c r="T841" s="3">
        <v>0</v>
      </c>
      <c r="U841" s="3">
        <v>0</v>
      </c>
      <c r="V841" s="6">
        <f t="shared" si="227"/>
        <v>6600</v>
      </c>
    </row>
    <row r="842" spans="1:22" ht="25.2" customHeight="1" x14ac:dyDescent="0.3">
      <c r="A842" s="46" t="s">
        <v>1646</v>
      </c>
      <c r="B842" s="53" t="s">
        <v>1182</v>
      </c>
      <c r="C842" s="2">
        <f t="shared" si="225"/>
        <v>4752600</v>
      </c>
      <c r="D842" s="3">
        <f t="shared" si="226"/>
        <v>0</v>
      </c>
      <c r="E842" s="32">
        <v>0</v>
      </c>
      <c r="F842" s="32">
        <v>0</v>
      </c>
      <c r="G842" s="32">
        <v>0</v>
      </c>
      <c r="H842" s="32">
        <v>0</v>
      </c>
      <c r="I842" s="32">
        <v>0</v>
      </c>
      <c r="J842" s="32">
        <v>0</v>
      </c>
      <c r="K842" s="4">
        <v>0</v>
      </c>
      <c r="L842" s="3">
        <v>0</v>
      </c>
      <c r="M842" s="3">
        <v>1068</v>
      </c>
      <c r="N842" s="3">
        <f>M842*4450</f>
        <v>4752600</v>
      </c>
      <c r="O842" s="3">
        <v>0</v>
      </c>
      <c r="P842" s="3">
        <v>0</v>
      </c>
      <c r="Q842" s="3">
        <v>0</v>
      </c>
      <c r="R842" s="3">
        <f t="shared" si="229"/>
        <v>0</v>
      </c>
      <c r="S842" s="3">
        <v>0</v>
      </c>
      <c r="T842" s="3">
        <v>0</v>
      </c>
      <c r="U842" s="3">
        <v>0</v>
      </c>
    </row>
    <row r="843" spans="1:22" ht="25.2" customHeight="1" x14ac:dyDescent="0.3">
      <c r="A843" s="46" t="s">
        <v>1647</v>
      </c>
      <c r="B843" s="53" t="s">
        <v>249</v>
      </c>
      <c r="C843" s="2">
        <f t="shared" si="225"/>
        <v>15376589.869999999</v>
      </c>
      <c r="D843" s="3">
        <f t="shared" si="226"/>
        <v>4713800</v>
      </c>
      <c r="E843" s="3">
        <f>700*1813</f>
        <v>1269100</v>
      </c>
      <c r="F843" s="3">
        <f>1300*1813</f>
        <v>2356900</v>
      </c>
      <c r="G843" s="3">
        <f>300*1813</f>
        <v>543900</v>
      </c>
      <c r="H843" s="3">
        <v>0</v>
      </c>
      <c r="I843" s="3">
        <f>300*1813</f>
        <v>543900</v>
      </c>
      <c r="J843" s="3">
        <f t="shared" ref="J843:J848" si="230">350*0</f>
        <v>0</v>
      </c>
      <c r="K843" s="4">
        <v>0</v>
      </c>
      <c r="L843" s="3">
        <v>0</v>
      </c>
      <c r="M843" s="3">
        <v>866.2</v>
      </c>
      <c r="N843" s="3">
        <f>M843*4450</f>
        <v>3854590</v>
      </c>
      <c r="O843" s="3">
        <v>35.450000000000003</v>
      </c>
      <c r="P843" s="3">
        <f>O843*1200</f>
        <v>42540</v>
      </c>
      <c r="Q843" s="3">
        <v>1442.1</v>
      </c>
      <c r="R843" s="3">
        <f t="shared" si="229"/>
        <v>4614720</v>
      </c>
      <c r="S843" s="3">
        <v>1630443.6</v>
      </c>
      <c r="T843" s="3">
        <v>0</v>
      </c>
      <c r="U843" s="3">
        <v>520496.27</v>
      </c>
      <c r="V843" s="6">
        <f t="shared" ref="V843:V848" si="231">N843/M843</f>
        <v>4450</v>
      </c>
    </row>
    <row r="844" spans="1:22" ht="25.2" customHeight="1" x14ac:dyDescent="0.3">
      <c r="A844" s="46" t="s">
        <v>1648</v>
      </c>
      <c r="B844" s="53" t="s">
        <v>250</v>
      </c>
      <c r="C844" s="2">
        <f t="shared" si="225"/>
        <v>12882599.1</v>
      </c>
      <c r="D844" s="3">
        <f t="shared" si="226"/>
        <v>4761900</v>
      </c>
      <c r="E844" s="3">
        <f>700*1831.5</f>
        <v>1282050</v>
      </c>
      <c r="F844" s="3">
        <f>1300*1831.5</f>
        <v>2380950</v>
      </c>
      <c r="G844" s="3">
        <f>300*1831.5</f>
        <v>549450</v>
      </c>
      <c r="H844" s="3">
        <v>0</v>
      </c>
      <c r="I844" s="3">
        <f>300*1831.5</f>
        <v>549450</v>
      </c>
      <c r="J844" s="3">
        <f t="shared" si="230"/>
        <v>0</v>
      </c>
      <c r="K844" s="4">
        <v>0</v>
      </c>
      <c r="L844" s="3">
        <v>0</v>
      </c>
      <c r="M844" s="3">
        <v>786</v>
      </c>
      <c r="N844" s="3">
        <f>M844*4450</f>
        <v>3497700</v>
      </c>
      <c r="O844" s="3">
        <v>52.7</v>
      </c>
      <c r="P844" s="3">
        <f>O844*1200</f>
        <v>63240</v>
      </c>
      <c r="Q844" s="3">
        <v>1368</v>
      </c>
      <c r="R844" s="3">
        <f t="shared" si="229"/>
        <v>4377600</v>
      </c>
      <c r="S844" s="3">
        <v>0</v>
      </c>
      <c r="T844" s="3">
        <v>0</v>
      </c>
      <c r="U844" s="3">
        <v>182159.1</v>
      </c>
      <c r="V844" s="6">
        <f t="shared" si="231"/>
        <v>4450</v>
      </c>
    </row>
    <row r="845" spans="1:22" ht="25.2" customHeight="1" x14ac:dyDescent="0.3">
      <c r="A845" s="46" t="s">
        <v>1649</v>
      </c>
      <c r="B845" s="53" t="s">
        <v>251</v>
      </c>
      <c r="C845" s="2">
        <f t="shared" si="225"/>
        <v>12937484.18</v>
      </c>
      <c r="D845" s="3">
        <f t="shared" si="226"/>
        <v>4799964</v>
      </c>
      <c r="E845" s="3">
        <f>700*1846.14</f>
        <v>1292298</v>
      </c>
      <c r="F845" s="3">
        <f>1300*1846.14</f>
        <v>2399982</v>
      </c>
      <c r="G845" s="3">
        <f>300*1846.14</f>
        <v>553842</v>
      </c>
      <c r="H845" s="3">
        <v>0</v>
      </c>
      <c r="I845" s="3">
        <f>300*1846.14</f>
        <v>553842</v>
      </c>
      <c r="J845" s="3">
        <f t="shared" si="230"/>
        <v>0</v>
      </c>
      <c r="K845" s="4">
        <v>0</v>
      </c>
      <c r="L845" s="3">
        <v>0</v>
      </c>
      <c r="M845" s="3">
        <v>790</v>
      </c>
      <c r="N845" s="3">
        <f>M845*4450</f>
        <v>3515500</v>
      </c>
      <c r="O845" s="3">
        <v>53.4</v>
      </c>
      <c r="P845" s="3">
        <f>O845*1200</f>
        <v>64080</v>
      </c>
      <c r="Q845" s="3">
        <v>1368</v>
      </c>
      <c r="R845" s="3">
        <f t="shared" si="229"/>
        <v>4377600</v>
      </c>
      <c r="S845" s="3">
        <v>0</v>
      </c>
      <c r="T845" s="3">
        <v>0</v>
      </c>
      <c r="U845" s="3">
        <v>180340.18</v>
      </c>
      <c r="V845" s="6">
        <f t="shared" si="231"/>
        <v>4450</v>
      </c>
    </row>
    <row r="846" spans="1:22" ht="25.2" customHeight="1" x14ac:dyDescent="0.3">
      <c r="A846" s="46" t="s">
        <v>1650</v>
      </c>
      <c r="B846" s="53" t="s">
        <v>252</v>
      </c>
      <c r="C846" s="2">
        <f t="shared" si="225"/>
        <v>8480774.6600000001</v>
      </c>
      <c r="D846" s="3">
        <f t="shared" si="226"/>
        <v>2012010</v>
      </c>
      <c r="E846" s="3">
        <f>700*773.85</f>
        <v>541695</v>
      </c>
      <c r="F846" s="3">
        <f>1300*773.85</f>
        <v>1006005</v>
      </c>
      <c r="G846" s="3">
        <f>300*773.85</f>
        <v>232155</v>
      </c>
      <c r="H846" s="3">
        <v>0</v>
      </c>
      <c r="I846" s="3">
        <f>300*773.85</f>
        <v>232155</v>
      </c>
      <c r="J846" s="3">
        <f t="shared" si="230"/>
        <v>0</v>
      </c>
      <c r="K846" s="4">
        <v>0</v>
      </c>
      <c r="L846" s="3">
        <v>0</v>
      </c>
      <c r="M846" s="3">
        <v>606.20000000000005</v>
      </c>
      <c r="N846" s="3">
        <f>M846*6600</f>
        <v>4000920.0000000005</v>
      </c>
      <c r="O846" s="3">
        <v>0</v>
      </c>
      <c r="P846" s="3">
        <v>0</v>
      </c>
      <c r="Q846" s="3">
        <v>734</v>
      </c>
      <c r="R846" s="3">
        <f t="shared" si="229"/>
        <v>2348800</v>
      </c>
      <c r="S846" s="3">
        <v>0</v>
      </c>
      <c r="T846" s="3">
        <v>0</v>
      </c>
      <c r="U846" s="3">
        <v>119044.66</v>
      </c>
      <c r="V846" s="6">
        <f t="shared" si="231"/>
        <v>6600</v>
      </c>
    </row>
    <row r="847" spans="1:22" ht="25.2" customHeight="1" x14ac:dyDescent="0.3">
      <c r="A847" s="46" t="s">
        <v>1651</v>
      </c>
      <c r="B847" s="53" t="s">
        <v>253</v>
      </c>
      <c r="C847" s="2">
        <f t="shared" si="225"/>
        <v>8193248.6600000001</v>
      </c>
      <c r="D847" s="3">
        <f t="shared" si="226"/>
        <v>1838720.0000000002</v>
      </c>
      <c r="E847" s="3">
        <f>700*707.2</f>
        <v>495040.00000000006</v>
      </c>
      <c r="F847" s="3">
        <f>1300*707.2</f>
        <v>919360.00000000012</v>
      </c>
      <c r="G847" s="3">
        <f>300*707.2</f>
        <v>212160</v>
      </c>
      <c r="H847" s="3">
        <v>0</v>
      </c>
      <c r="I847" s="3">
        <f>300*707.2</f>
        <v>212160</v>
      </c>
      <c r="J847" s="3">
        <f t="shared" si="230"/>
        <v>0</v>
      </c>
      <c r="K847" s="4">
        <v>0</v>
      </c>
      <c r="L847" s="3">
        <v>0</v>
      </c>
      <c r="M847" s="3">
        <v>603.4</v>
      </c>
      <c r="N847" s="3">
        <f>M847*6600</f>
        <v>3982440</v>
      </c>
      <c r="O847" s="3">
        <v>0</v>
      </c>
      <c r="P847" s="3">
        <v>0</v>
      </c>
      <c r="Q847" s="3">
        <v>704</v>
      </c>
      <c r="R847" s="3">
        <f t="shared" si="229"/>
        <v>2252800</v>
      </c>
      <c r="S847" s="3">
        <v>0</v>
      </c>
      <c r="T847" s="3">
        <v>0</v>
      </c>
      <c r="U847" s="3">
        <v>119288.66</v>
      </c>
      <c r="V847" s="6">
        <f t="shared" si="231"/>
        <v>6600</v>
      </c>
    </row>
    <row r="848" spans="1:22" ht="25.2" customHeight="1" x14ac:dyDescent="0.3">
      <c r="A848" s="46" t="s">
        <v>1652</v>
      </c>
      <c r="B848" s="53" t="s">
        <v>254</v>
      </c>
      <c r="C848" s="2">
        <f t="shared" si="225"/>
        <v>2461944.5</v>
      </c>
      <c r="D848" s="3">
        <f t="shared" si="226"/>
        <v>978120</v>
      </c>
      <c r="E848" s="3">
        <f>700*376.2</f>
        <v>263340</v>
      </c>
      <c r="F848" s="3">
        <f>1300*376.2</f>
        <v>489060</v>
      </c>
      <c r="G848" s="3">
        <f>300*376.2</f>
        <v>112860</v>
      </c>
      <c r="H848" s="3">
        <v>0</v>
      </c>
      <c r="I848" s="3">
        <f>300*376.2</f>
        <v>112860</v>
      </c>
      <c r="J848" s="3">
        <f t="shared" si="230"/>
        <v>0</v>
      </c>
      <c r="K848" s="4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430.6</v>
      </c>
      <c r="R848" s="3">
        <f t="shared" si="229"/>
        <v>1377920</v>
      </c>
      <c r="S848" s="3">
        <v>0</v>
      </c>
      <c r="T848" s="3">
        <v>0</v>
      </c>
      <c r="U848" s="3">
        <v>105904.5</v>
      </c>
      <c r="V848" s="6" t="e">
        <f t="shared" si="231"/>
        <v>#DIV/0!</v>
      </c>
    </row>
    <row r="849" spans="1:191" ht="45" customHeight="1" x14ac:dyDescent="0.3">
      <c r="A849" s="45" t="s">
        <v>256</v>
      </c>
      <c r="B849" s="45"/>
      <c r="C849" s="2">
        <f t="shared" ref="C849:U849" si="232">SUM(C850)</f>
        <v>3507900</v>
      </c>
      <c r="D849" s="2">
        <f t="shared" si="232"/>
        <v>0</v>
      </c>
      <c r="E849" s="2">
        <f t="shared" si="232"/>
        <v>0</v>
      </c>
      <c r="F849" s="2">
        <f t="shared" si="232"/>
        <v>0</v>
      </c>
      <c r="G849" s="2">
        <f t="shared" si="232"/>
        <v>0</v>
      </c>
      <c r="H849" s="2">
        <f t="shared" si="232"/>
        <v>0</v>
      </c>
      <c r="I849" s="2">
        <f t="shared" si="232"/>
        <v>0</v>
      </c>
      <c r="J849" s="2">
        <f t="shared" si="232"/>
        <v>0</v>
      </c>
      <c r="K849" s="38">
        <f t="shared" si="232"/>
        <v>0</v>
      </c>
      <c r="L849" s="2">
        <f t="shared" si="232"/>
        <v>0</v>
      </c>
      <c r="M849" s="2">
        <f t="shared" si="232"/>
        <v>531.5</v>
      </c>
      <c r="N849" s="2">
        <f t="shared" si="232"/>
        <v>3507900</v>
      </c>
      <c r="O849" s="2">
        <f t="shared" si="232"/>
        <v>0</v>
      </c>
      <c r="P849" s="2">
        <f t="shared" si="232"/>
        <v>0</v>
      </c>
      <c r="Q849" s="2">
        <f t="shared" si="232"/>
        <v>0</v>
      </c>
      <c r="R849" s="2">
        <f t="shared" si="232"/>
        <v>0</v>
      </c>
      <c r="S849" s="2">
        <f t="shared" si="232"/>
        <v>0</v>
      </c>
      <c r="T849" s="2">
        <f t="shared" si="232"/>
        <v>0</v>
      </c>
      <c r="U849" s="2">
        <f t="shared" si="232"/>
        <v>0</v>
      </c>
      <c r="V849" s="44">
        <f>C849</f>
        <v>3507900</v>
      </c>
    </row>
    <row r="850" spans="1:191" ht="25.2" customHeight="1" x14ac:dyDescent="0.3">
      <c r="A850" s="46" t="s">
        <v>1653</v>
      </c>
      <c r="B850" s="53" t="s">
        <v>1196</v>
      </c>
      <c r="C850" s="2">
        <f>D850+L850+N850+P850+R850+S850+T850+U850</f>
        <v>3507900</v>
      </c>
      <c r="D850" s="3">
        <f>SUM(E850:J850)</f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f>350*0</f>
        <v>0</v>
      </c>
      <c r="K850" s="4">
        <v>0</v>
      </c>
      <c r="L850" s="3">
        <v>0</v>
      </c>
      <c r="M850" s="3">
        <v>531.5</v>
      </c>
      <c r="N850" s="3">
        <f>M850*6600</f>
        <v>3507900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6">
        <f>N850/M850</f>
        <v>6600</v>
      </c>
    </row>
    <row r="851" spans="1:191" ht="45" customHeight="1" x14ac:dyDescent="0.3">
      <c r="A851" s="45" t="s">
        <v>258</v>
      </c>
      <c r="B851" s="45"/>
      <c r="C851" s="2">
        <f t="shared" ref="C851:U851" si="233">SUM(C852:C853)</f>
        <v>5930660</v>
      </c>
      <c r="D851" s="2">
        <f t="shared" si="233"/>
        <v>1127460</v>
      </c>
      <c r="E851" s="2">
        <f t="shared" si="233"/>
        <v>343140</v>
      </c>
      <c r="F851" s="2">
        <f t="shared" si="233"/>
        <v>637260</v>
      </c>
      <c r="G851" s="2">
        <f t="shared" si="233"/>
        <v>147060</v>
      </c>
      <c r="H851" s="2">
        <f t="shared" si="233"/>
        <v>0</v>
      </c>
      <c r="I851" s="2">
        <f t="shared" si="233"/>
        <v>0</v>
      </c>
      <c r="J851" s="2">
        <f t="shared" si="233"/>
        <v>0</v>
      </c>
      <c r="K851" s="38">
        <f t="shared" si="233"/>
        <v>0</v>
      </c>
      <c r="L851" s="2">
        <f t="shared" si="233"/>
        <v>0</v>
      </c>
      <c r="M851" s="2">
        <f t="shared" si="233"/>
        <v>432</v>
      </c>
      <c r="N851" s="2">
        <f t="shared" si="233"/>
        <v>2851200</v>
      </c>
      <c r="O851" s="2">
        <f t="shared" si="233"/>
        <v>0</v>
      </c>
      <c r="P851" s="2">
        <f t="shared" si="233"/>
        <v>0</v>
      </c>
      <c r="Q851" s="2">
        <f t="shared" si="233"/>
        <v>485</v>
      </c>
      <c r="R851" s="2">
        <f t="shared" si="233"/>
        <v>1552000</v>
      </c>
      <c r="S851" s="2">
        <f t="shared" si="233"/>
        <v>0</v>
      </c>
      <c r="T851" s="2">
        <f t="shared" si="233"/>
        <v>0</v>
      </c>
      <c r="U851" s="2">
        <f t="shared" si="233"/>
        <v>400000</v>
      </c>
      <c r="V851" s="44">
        <f>C851</f>
        <v>5930660</v>
      </c>
    </row>
    <row r="852" spans="1:191" ht="25.2" customHeight="1" x14ac:dyDescent="0.3">
      <c r="A852" s="46" t="s">
        <v>1654</v>
      </c>
      <c r="B852" s="53" t="s">
        <v>259</v>
      </c>
      <c r="C852" s="2">
        <f>D852+L852+N852+P852+R852+S852+T852+U852</f>
        <v>5630660</v>
      </c>
      <c r="D852" s="3">
        <f>SUM(E852:J852)</f>
        <v>1127460</v>
      </c>
      <c r="E852" s="3">
        <f>700*490.2</f>
        <v>343140</v>
      </c>
      <c r="F852" s="3">
        <f>1300*490.2</f>
        <v>637260</v>
      </c>
      <c r="G852" s="3">
        <f>300*490.2</f>
        <v>147060</v>
      </c>
      <c r="H852" s="3">
        <v>0</v>
      </c>
      <c r="I852" s="3">
        <v>0</v>
      </c>
      <c r="J852" s="3">
        <f>350*0</f>
        <v>0</v>
      </c>
      <c r="K852" s="4">
        <v>0</v>
      </c>
      <c r="L852" s="3">
        <v>0</v>
      </c>
      <c r="M852" s="3">
        <v>432</v>
      </c>
      <c r="N852" s="3">
        <f>M852*6600</f>
        <v>2851200</v>
      </c>
      <c r="O852" s="3">
        <v>0</v>
      </c>
      <c r="P852" s="3">
        <v>0</v>
      </c>
      <c r="Q852" s="3">
        <v>485</v>
      </c>
      <c r="R852" s="3">
        <f>Q852*3200</f>
        <v>1552000</v>
      </c>
      <c r="S852" s="3">
        <v>0</v>
      </c>
      <c r="T852" s="3">
        <v>0</v>
      </c>
      <c r="U852" s="3">
        <v>100000</v>
      </c>
      <c r="V852" s="6">
        <f>N852/M852</f>
        <v>6600</v>
      </c>
    </row>
    <row r="853" spans="1:191" ht="25.2" customHeight="1" x14ac:dyDescent="0.3">
      <c r="A853" s="46" t="s">
        <v>1655</v>
      </c>
      <c r="B853" s="53" t="s">
        <v>928</v>
      </c>
      <c r="C853" s="2">
        <f>D853+L853+N853+P853+R853+S853+T853+U853</f>
        <v>300000</v>
      </c>
      <c r="D853" s="3">
        <f>SUM(E853:J853)</f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f>350*0</f>
        <v>0</v>
      </c>
      <c r="K853" s="4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300000</v>
      </c>
      <c r="V853" s="6" t="e">
        <f>N853/M853</f>
        <v>#DIV/0!</v>
      </c>
    </row>
    <row r="854" spans="1:191" ht="45" customHeight="1" x14ac:dyDescent="0.3">
      <c r="A854" s="45" t="s">
        <v>263</v>
      </c>
      <c r="B854" s="45"/>
      <c r="C854" s="2">
        <f t="shared" ref="C854:U854" si="234">SUM(C855:C856)</f>
        <v>8932240</v>
      </c>
      <c r="D854" s="2">
        <f t="shared" si="234"/>
        <v>702800</v>
      </c>
      <c r="E854" s="2">
        <f t="shared" si="234"/>
        <v>702800</v>
      </c>
      <c r="F854" s="2">
        <f t="shared" si="234"/>
        <v>0</v>
      </c>
      <c r="G854" s="2">
        <f t="shared" si="234"/>
        <v>0</v>
      </c>
      <c r="H854" s="2">
        <f t="shared" si="234"/>
        <v>0</v>
      </c>
      <c r="I854" s="2">
        <f t="shared" si="234"/>
        <v>0</v>
      </c>
      <c r="J854" s="2">
        <f t="shared" si="234"/>
        <v>0</v>
      </c>
      <c r="K854" s="38">
        <f t="shared" si="234"/>
        <v>0</v>
      </c>
      <c r="L854" s="2">
        <f t="shared" si="234"/>
        <v>0</v>
      </c>
      <c r="M854" s="2">
        <f t="shared" si="234"/>
        <v>864</v>
      </c>
      <c r="N854" s="2">
        <f t="shared" si="234"/>
        <v>5702400</v>
      </c>
      <c r="O854" s="2">
        <f t="shared" si="234"/>
        <v>0</v>
      </c>
      <c r="P854" s="2">
        <f t="shared" si="234"/>
        <v>0</v>
      </c>
      <c r="Q854" s="2">
        <f t="shared" si="234"/>
        <v>727.2</v>
      </c>
      <c r="R854" s="2">
        <f t="shared" si="234"/>
        <v>2327040</v>
      </c>
      <c r="S854" s="2">
        <f t="shared" si="234"/>
        <v>0</v>
      </c>
      <c r="T854" s="2">
        <f t="shared" si="234"/>
        <v>0</v>
      </c>
      <c r="U854" s="2">
        <f t="shared" si="234"/>
        <v>200000</v>
      </c>
      <c r="V854" s="44">
        <f>C854</f>
        <v>8932240</v>
      </c>
    </row>
    <row r="855" spans="1:191" ht="25.2" customHeight="1" x14ac:dyDescent="0.3">
      <c r="A855" s="46" t="s">
        <v>1656</v>
      </c>
      <c r="B855" s="53" t="s">
        <v>264</v>
      </c>
      <c r="C855" s="2">
        <f>D855+L855+N855+P855+R855+S855+T855+U855</f>
        <v>4466120</v>
      </c>
      <c r="D855" s="3">
        <f>SUM(E855:J855)</f>
        <v>351400</v>
      </c>
      <c r="E855" s="3">
        <f>700*502</f>
        <v>351400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3">
        <v>432</v>
      </c>
      <c r="N855" s="3">
        <f>M855*6600</f>
        <v>2851200</v>
      </c>
      <c r="O855" s="3">
        <v>0</v>
      </c>
      <c r="P855" s="3">
        <v>0</v>
      </c>
      <c r="Q855" s="3">
        <v>363.6</v>
      </c>
      <c r="R855" s="3">
        <f>Q855*3200</f>
        <v>1163520</v>
      </c>
      <c r="S855" s="3">
        <v>0</v>
      </c>
      <c r="T855" s="3">
        <v>0</v>
      </c>
      <c r="U855" s="3">
        <v>100000</v>
      </c>
      <c r="V855" s="6">
        <f>N855/M855</f>
        <v>6600</v>
      </c>
    </row>
    <row r="856" spans="1:191" ht="25.2" customHeight="1" x14ac:dyDescent="0.3">
      <c r="A856" s="46" t="s">
        <v>1657</v>
      </c>
      <c r="B856" s="53" t="s">
        <v>265</v>
      </c>
      <c r="C856" s="2">
        <f>D856+L856+N856+P856+R856+S856+T856+U856</f>
        <v>4466120</v>
      </c>
      <c r="D856" s="3">
        <f>SUM(E856:J856)</f>
        <v>351400</v>
      </c>
      <c r="E856" s="3">
        <f>700*502</f>
        <v>351400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432</v>
      </c>
      <c r="N856" s="3">
        <f>M856*6600</f>
        <v>2851200</v>
      </c>
      <c r="O856" s="3">
        <v>0</v>
      </c>
      <c r="P856" s="3">
        <v>0</v>
      </c>
      <c r="Q856" s="3">
        <v>363.6</v>
      </c>
      <c r="R856" s="3">
        <f>Q856*3200</f>
        <v>1163520</v>
      </c>
      <c r="S856" s="3">
        <v>0</v>
      </c>
      <c r="T856" s="3">
        <v>0</v>
      </c>
      <c r="U856" s="3">
        <v>100000</v>
      </c>
      <c r="V856" s="6">
        <f>N856/M856</f>
        <v>6600</v>
      </c>
    </row>
    <row r="857" spans="1:191" ht="45" customHeight="1" x14ac:dyDescent="0.3">
      <c r="A857" s="45" t="s">
        <v>875</v>
      </c>
      <c r="B857" s="45"/>
      <c r="C857" s="2">
        <f t="shared" ref="C857:U857" si="235">SUM(C858)</f>
        <v>5167400</v>
      </c>
      <c r="D857" s="2">
        <f t="shared" si="235"/>
        <v>737800</v>
      </c>
      <c r="E857" s="2">
        <f t="shared" si="235"/>
        <v>737800</v>
      </c>
      <c r="F857" s="2">
        <f t="shared" si="235"/>
        <v>0</v>
      </c>
      <c r="G857" s="2">
        <f t="shared" si="235"/>
        <v>0</v>
      </c>
      <c r="H857" s="2">
        <f t="shared" si="235"/>
        <v>0</v>
      </c>
      <c r="I857" s="2">
        <f t="shared" si="235"/>
        <v>0</v>
      </c>
      <c r="J857" s="2">
        <f t="shared" si="235"/>
        <v>0</v>
      </c>
      <c r="K857" s="38">
        <f t="shared" si="235"/>
        <v>0</v>
      </c>
      <c r="L857" s="2">
        <f t="shared" si="235"/>
        <v>0</v>
      </c>
      <c r="M857" s="2">
        <f t="shared" si="235"/>
        <v>656</v>
      </c>
      <c r="N857" s="2">
        <f t="shared" si="235"/>
        <v>4329600</v>
      </c>
      <c r="O857" s="2">
        <f t="shared" si="235"/>
        <v>0</v>
      </c>
      <c r="P857" s="2">
        <f t="shared" si="235"/>
        <v>0</v>
      </c>
      <c r="Q857" s="2">
        <f t="shared" si="235"/>
        <v>0</v>
      </c>
      <c r="R857" s="2">
        <f t="shared" si="235"/>
        <v>0</v>
      </c>
      <c r="S857" s="2">
        <f t="shared" si="235"/>
        <v>0</v>
      </c>
      <c r="T857" s="2">
        <f t="shared" si="235"/>
        <v>0</v>
      </c>
      <c r="U857" s="2">
        <f t="shared" si="235"/>
        <v>100000</v>
      </c>
      <c r="V857" s="44">
        <f>C857</f>
        <v>5167400</v>
      </c>
    </row>
    <row r="858" spans="1:191" ht="25.2" customHeight="1" x14ac:dyDescent="0.3">
      <c r="A858" s="46" t="s">
        <v>1658</v>
      </c>
      <c r="B858" s="53" t="s">
        <v>1197</v>
      </c>
      <c r="C858" s="2">
        <f>D858+L858+N858+P858+R858+S858+T858+U858</f>
        <v>5167400</v>
      </c>
      <c r="D858" s="3">
        <f>SUM(E858:J858)</f>
        <v>737800</v>
      </c>
      <c r="E858" s="3">
        <f>700*1054</f>
        <v>737800</v>
      </c>
      <c r="F858" s="3">
        <f>670.53*0</f>
        <v>0</v>
      </c>
      <c r="G858" s="3">
        <v>0</v>
      </c>
      <c r="H858" s="3">
        <f>500*0</f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656</v>
      </c>
      <c r="N858" s="3">
        <f>M858*6600</f>
        <v>4329600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100000</v>
      </c>
      <c r="V858" s="6">
        <f>N858/M858</f>
        <v>6600</v>
      </c>
    </row>
    <row r="859" spans="1:191" ht="45" customHeight="1" x14ac:dyDescent="0.3">
      <c r="A859" s="45" t="s">
        <v>360</v>
      </c>
      <c r="B859" s="45"/>
      <c r="C859" s="2">
        <f t="shared" ref="C859:U859" si="236">SUM(C860:C1102)</f>
        <v>1348948471.3099997</v>
      </c>
      <c r="D859" s="2">
        <f t="shared" si="236"/>
        <v>376065786.5</v>
      </c>
      <c r="E859" s="2">
        <f t="shared" si="236"/>
        <v>81674652.5</v>
      </c>
      <c r="F859" s="2">
        <f t="shared" si="236"/>
        <v>168311211.5</v>
      </c>
      <c r="G859" s="2">
        <f t="shared" si="236"/>
        <v>40358001</v>
      </c>
      <c r="H859" s="2">
        <f t="shared" si="236"/>
        <v>45219764</v>
      </c>
      <c r="I859" s="2">
        <f t="shared" si="236"/>
        <v>40502157.5</v>
      </c>
      <c r="J859" s="2">
        <f t="shared" si="236"/>
        <v>0</v>
      </c>
      <c r="K859" s="69">
        <f t="shared" si="236"/>
        <v>2</v>
      </c>
      <c r="L859" s="2">
        <f t="shared" si="236"/>
        <v>5400000</v>
      </c>
      <c r="M859" s="2">
        <f t="shared" si="236"/>
        <v>114904.83999999997</v>
      </c>
      <c r="N859" s="2">
        <f t="shared" si="236"/>
        <v>735037577.19999993</v>
      </c>
      <c r="O859" s="2">
        <f t="shared" si="236"/>
        <v>845.96</v>
      </c>
      <c r="P859" s="2">
        <f t="shared" si="236"/>
        <v>1114332</v>
      </c>
      <c r="Q859" s="2">
        <f t="shared" si="236"/>
        <v>65659.290000000008</v>
      </c>
      <c r="R859" s="2">
        <f t="shared" si="236"/>
        <v>210109728</v>
      </c>
      <c r="S859" s="2">
        <f t="shared" si="236"/>
        <v>0</v>
      </c>
      <c r="T859" s="2">
        <f t="shared" si="236"/>
        <v>0</v>
      </c>
      <c r="U859" s="2">
        <f t="shared" si="236"/>
        <v>21221047.609999996</v>
      </c>
    </row>
    <row r="860" spans="1:191" ht="24.6" customHeight="1" x14ac:dyDescent="0.3">
      <c r="A860" s="46" t="s">
        <v>1659</v>
      </c>
      <c r="B860" s="49" t="s">
        <v>732</v>
      </c>
      <c r="C860" s="2">
        <f t="shared" ref="C860:C923" si="237">D860+L860+N860+P860+R860+S860+T860+U860</f>
        <v>3937560</v>
      </c>
      <c r="D860" s="3">
        <f t="shared" ref="D860:D923" si="238">SUM(E860:J860)</f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3">
        <v>0</v>
      </c>
      <c r="L860" s="32">
        <v>0</v>
      </c>
      <c r="M860" s="32">
        <v>596.6</v>
      </c>
      <c r="N860" s="3">
        <f>M860*6600</f>
        <v>3937560</v>
      </c>
      <c r="O860" s="32">
        <v>0</v>
      </c>
      <c r="P860" s="32">
        <v>0</v>
      </c>
      <c r="Q860" s="32">
        <v>0</v>
      </c>
      <c r="R860" s="3">
        <f>Q860*3200</f>
        <v>0</v>
      </c>
      <c r="S860" s="32">
        <v>0</v>
      </c>
      <c r="T860" s="32">
        <v>0</v>
      </c>
      <c r="U860" s="32">
        <v>0</v>
      </c>
      <c r="V860" s="6">
        <f t="shared" ref="V860:V923" si="239">N860/M860</f>
        <v>6600</v>
      </c>
    </row>
    <row r="861" spans="1:191" ht="25.2" customHeight="1" x14ac:dyDescent="0.3">
      <c r="A861" s="46" t="s">
        <v>1660</v>
      </c>
      <c r="B861" s="49" t="s">
        <v>467</v>
      </c>
      <c r="C861" s="2">
        <f t="shared" si="237"/>
        <v>7431752.8799999999</v>
      </c>
      <c r="D861" s="3">
        <f t="shared" si="238"/>
        <v>3379799.9999999995</v>
      </c>
      <c r="E861" s="3">
        <f>700*1126.6</f>
        <v>788619.99999999988</v>
      </c>
      <c r="F861" s="3">
        <f>1300*1126.6</f>
        <v>1464579.9999999998</v>
      </c>
      <c r="G861" s="3">
        <f>300*1126.6</f>
        <v>337980</v>
      </c>
      <c r="H861" s="3">
        <f>400*1126.6</f>
        <v>450639.99999999994</v>
      </c>
      <c r="I861" s="3">
        <f>300*1126.6</f>
        <v>337980</v>
      </c>
      <c r="J861" s="3">
        <f>350*0</f>
        <v>0</v>
      </c>
      <c r="K861" s="33">
        <v>0</v>
      </c>
      <c r="L861" s="32">
        <v>0</v>
      </c>
      <c r="M861" s="32">
        <v>0</v>
      </c>
      <c r="N861" s="32">
        <v>0</v>
      </c>
      <c r="O861" s="32">
        <v>0</v>
      </c>
      <c r="P861" s="32">
        <v>0</v>
      </c>
      <c r="Q861" s="32">
        <v>1205.5</v>
      </c>
      <c r="R861" s="3">
        <f>Q861*3200</f>
        <v>3857600</v>
      </c>
      <c r="S861" s="32">
        <v>0</v>
      </c>
      <c r="T861" s="32">
        <v>0</v>
      </c>
      <c r="U861" s="32">
        <v>194352.88</v>
      </c>
      <c r="V861" s="6" t="e">
        <f t="shared" si="239"/>
        <v>#DIV/0!</v>
      </c>
    </row>
    <row r="862" spans="1:191" ht="25.2" customHeight="1" x14ac:dyDescent="0.3">
      <c r="A862" s="46" t="s">
        <v>1661</v>
      </c>
      <c r="B862" s="49" t="s">
        <v>551</v>
      </c>
      <c r="C862" s="2">
        <f t="shared" si="237"/>
        <v>2613520</v>
      </c>
      <c r="D862" s="3">
        <f t="shared" si="238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33">
        <v>0</v>
      </c>
      <c r="L862" s="32">
        <v>0</v>
      </c>
      <c r="M862" s="32">
        <v>267.2</v>
      </c>
      <c r="N862" s="3">
        <f>M862*6600</f>
        <v>1763520</v>
      </c>
      <c r="O862" s="32">
        <v>0</v>
      </c>
      <c r="P862" s="32">
        <v>0</v>
      </c>
      <c r="Q862" s="32">
        <v>0</v>
      </c>
      <c r="R862" s="3">
        <f>Q862*3000</f>
        <v>0</v>
      </c>
      <c r="S862" s="32">
        <v>0</v>
      </c>
      <c r="T862" s="32">
        <v>0</v>
      </c>
      <c r="U862" s="32">
        <v>850000</v>
      </c>
      <c r="V862" s="6">
        <f t="shared" si="239"/>
        <v>6600</v>
      </c>
    </row>
    <row r="863" spans="1:191" ht="25.2" customHeight="1" x14ac:dyDescent="0.3">
      <c r="A863" s="46" t="s">
        <v>1662</v>
      </c>
      <c r="B863" s="49" t="s">
        <v>1193</v>
      </c>
      <c r="C863" s="2">
        <f t="shared" si="237"/>
        <v>2032800</v>
      </c>
      <c r="D863" s="3">
        <f t="shared" si="238"/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308</v>
      </c>
      <c r="N863" s="3">
        <f>M863*6600</f>
        <v>2032800</v>
      </c>
      <c r="O863" s="3">
        <v>0</v>
      </c>
      <c r="P863" s="3">
        <v>0</v>
      </c>
      <c r="Q863" s="3">
        <v>0</v>
      </c>
      <c r="R863" s="3">
        <f>Q863*3200</f>
        <v>0</v>
      </c>
      <c r="S863" s="3">
        <v>0</v>
      </c>
      <c r="T863" s="32">
        <v>0</v>
      </c>
      <c r="U863" s="3">
        <v>0</v>
      </c>
      <c r="V863" s="6">
        <f t="shared" si="239"/>
        <v>6600</v>
      </c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  <c r="AL863" s="59"/>
      <c r="AM863" s="59"/>
      <c r="AN863" s="59"/>
      <c r="AO863" s="59"/>
      <c r="AP863" s="59"/>
      <c r="AQ863" s="59"/>
      <c r="AR863" s="59"/>
      <c r="AS863" s="59"/>
      <c r="AT863" s="59"/>
      <c r="AU863" s="59"/>
      <c r="AV863" s="59"/>
      <c r="AW863" s="59"/>
      <c r="AX863" s="59"/>
      <c r="AY863" s="59"/>
      <c r="AZ863" s="59"/>
      <c r="BA863" s="59"/>
      <c r="BB863" s="59"/>
      <c r="BC863" s="59"/>
      <c r="BD863" s="59"/>
      <c r="BE863" s="59"/>
      <c r="BF863" s="59"/>
      <c r="BG863" s="59"/>
      <c r="BH863" s="59"/>
      <c r="BI863" s="59"/>
      <c r="BJ863" s="59"/>
      <c r="BK863" s="59"/>
      <c r="BL863" s="59"/>
      <c r="BM863" s="59"/>
      <c r="BN863" s="59"/>
      <c r="BO863" s="59"/>
      <c r="BP863" s="59"/>
      <c r="BQ863" s="59"/>
      <c r="BR863" s="59"/>
      <c r="BS863" s="59"/>
      <c r="BT863" s="59"/>
      <c r="BU863" s="59"/>
      <c r="BV863" s="59"/>
      <c r="BW863" s="59"/>
      <c r="BX863" s="59"/>
      <c r="BY863" s="59"/>
      <c r="BZ863" s="59"/>
      <c r="CA863" s="59"/>
      <c r="CB863" s="59"/>
      <c r="CC863" s="59"/>
      <c r="CD863" s="59"/>
      <c r="CE863" s="59"/>
      <c r="CF863" s="59"/>
      <c r="CG863" s="59"/>
      <c r="CH863" s="59"/>
      <c r="CI863" s="59"/>
      <c r="CJ863" s="59"/>
      <c r="CK863" s="59"/>
      <c r="CL863" s="59"/>
      <c r="CM863" s="59"/>
      <c r="CN863" s="59"/>
      <c r="CO863" s="59"/>
      <c r="CP863" s="59"/>
      <c r="CQ863" s="59"/>
      <c r="CR863" s="59"/>
      <c r="CS863" s="59"/>
      <c r="CT863" s="59"/>
      <c r="CU863" s="59"/>
      <c r="CV863" s="59"/>
      <c r="CW863" s="59"/>
      <c r="CX863" s="59"/>
      <c r="CY863" s="59"/>
      <c r="CZ863" s="59"/>
      <c r="DA863" s="59"/>
      <c r="DB863" s="59"/>
      <c r="DC863" s="59"/>
      <c r="DD863" s="59"/>
      <c r="DE863" s="59"/>
      <c r="DF863" s="59"/>
      <c r="DG863" s="59"/>
      <c r="DH863" s="59"/>
      <c r="DI863" s="59"/>
      <c r="DJ863" s="59"/>
      <c r="DK863" s="59"/>
      <c r="DL863" s="59"/>
      <c r="DM863" s="59"/>
      <c r="DN863" s="59"/>
      <c r="DO863" s="59"/>
      <c r="DP863" s="59"/>
      <c r="DQ863" s="59"/>
      <c r="DR863" s="59"/>
      <c r="DS863" s="59"/>
      <c r="DT863" s="59"/>
      <c r="DU863" s="59"/>
      <c r="DV863" s="59"/>
      <c r="DW863" s="59"/>
      <c r="DX863" s="59"/>
      <c r="DY863" s="59"/>
      <c r="DZ863" s="59"/>
      <c r="EA863" s="59"/>
      <c r="EB863" s="59"/>
      <c r="EC863" s="59"/>
      <c r="ED863" s="59"/>
      <c r="EE863" s="59"/>
      <c r="EF863" s="59"/>
      <c r="EG863" s="59"/>
      <c r="EH863" s="59"/>
      <c r="EI863" s="59"/>
      <c r="EJ863" s="59"/>
      <c r="EK863" s="59"/>
      <c r="EL863" s="59"/>
      <c r="EM863" s="59"/>
      <c r="EN863" s="59"/>
      <c r="EO863" s="59"/>
      <c r="EP863" s="59"/>
      <c r="EQ863" s="59"/>
      <c r="ER863" s="59"/>
      <c r="ES863" s="59"/>
      <c r="ET863" s="59"/>
      <c r="EU863" s="59"/>
      <c r="EV863" s="59"/>
      <c r="EW863" s="59"/>
      <c r="EX863" s="59"/>
      <c r="EY863" s="59"/>
      <c r="EZ863" s="59"/>
      <c r="FA863" s="59"/>
      <c r="FB863" s="59"/>
      <c r="FC863" s="59"/>
      <c r="FD863" s="59"/>
      <c r="FE863" s="59"/>
      <c r="FF863" s="59"/>
      <c r="FG863" s="59"/>
      <c r="FH863" s="59"/>
      <c r="FI863" s="59"/>
      <c r="FJ863" s="59"/>
      <c r="FK863" s="59"/>
      <c r="FL863" s="59"/>
      <c r="FM863" s="59"/>
      <c r="FN863" s="59"/>
      <c r="FO863" s="59"/>
      <c r="FP863" s="59"/>
      <c r="FQ863" s="59"/>
      <c r="FR863" s="59"/>
      <c r="FS863" s="59"/>
      <c r="FT863" s="59"/>
      <c r="FU863" s="59"/>
      <c r="FV863" s="59"/>
      <c r="FW863" s="59"/>
      <c r="FX863" s="59"/>
      <c r="FY863" s="59"/>
      <c r="FZ863" s="59"/>
      <c r="GA863" s="59"/>
      <c r="GB863" s="59"/>
      <c r="GC863" s="59"/>
      <c r="GD863" s="59"/>
      <c r="GE863" s="59"/>
      <c r="GF863" s="59"/>
      <c r="GG863" s="59"/>
      <c r="GH863" s="59"/>
      <c r="GI863" s="59"/>
    </row>
    <row r="864" spans="1:191" ht="25.2" customHeight="1" x14ac:dyDescent="0.3">
      <c r="A864" s="46" t="s">
        <v>1663</v>
      </c>
      <c r="B864" s="49" t="s">
        <v>841</v>
      </c>
      <c r="C864" s="2">
        <f t="shared" si="237"/>
        <v>2200320</v>
      </c>
      <c r="D864" s="3">
        <f t="shared" si="238"/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3">
        <v>0</v>
      </c>
      <c r="L864" s="32">
        <v>0</v>
      </c>
      <c r="M864" s="32">
        <v>0</v>
      </c>
      <c r="N864" s="32">
        <v>0</v>
      </c>
      <c r="O864" s="32">
        <v>0</v>
      </c>
      <c r="P864" s="32">
        <v>0</v>
      </c>
      <c r="Q864" s="32">
        <v>687.6</v>
      </c>
      <c r="R864" s="3">
        <f>Q864*3200</f>
        <v>2200320</v>
      </c>
      <c r="S864" s="32">
        <v>0</v>
      </c>
      <c r="T864" s="32">
        <v>0</v>
      </c>
      <c r="U864" s="32">
        <v>0</v>
      </c>
      <c r="V864" s="6" t="e">
        <f t="shared" si="239"/>
        <v>#DIV/0!</v>
      </c>
    </row>
    <row r="865" spans="1:258" ht="25.2" customHeight="1" x14ac:dyDescent="0.3">
      <c r="A865" s="46" t="s">
        <v>1664</v>
      </c>
      <c r="B865" s="55" t="s">
        <v>856</v>
      </c>
      <c r="C865" s="2">
        <f t="shared" si="237"/>
        <v>4224000</v>
      </c>
      <c r="D865" s="3">
        <f t="shared" si="238"/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3">
        <v>640</v>
      </c>
      <c r="N865" s="3">
        <f>M865*6600</f>
        <v>4224000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6">
        <f t="shared" si="239"/>
        <v>6600</v>
      </c>
    </row>
    <row r="866" spans="1:258" ht="25.2" customHeight="1" x14ac:dyDescent="0.3">
      <c r="A866" s="46" t="s">
        <v>1665</v>
      </c>
      <c r="B866" s="55" t="s">
        <v>858</v>
      </c>
      <c r="C866" s="2">
        <f t="shared" si="237"/>
        <v>3379200</v>
      </c>
      <c r="D866" s="3">
        <f t="shared" si="238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4">
        <v>0</v>
      </c>
      <c r="L866" s="3">
        <v>0</v>
      </c>
      <c r="M866" s="3">
        <v>512</v>
      </c>
      <c r="N866" s="3">
        <f>M866*6600</f>
        <v>3379200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6">
        <f t="shared" si="239"/>
        <v>6600</v>
      </c>
    </row>
    <row r="867" spans="1:258" ht="25.2" customHeight="1" x14ac:dyDescent="0.3">
      <c r="A867" s="46" t="s">
        <v>1972</v>
      </c>
      <c r="B867" s="49" t="s">
        <v>405</v>
      </c>
      <c r="C867" s="2">
        <f t="shared" si="237"/>
        <v>640000</v>
      </c>
      <c r="D867" s="3">
        <f t="shared" si="238"/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4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200</v>
      </c>
      <c r="R867" s="3">
        <f>Q867*3200</f>
        <v>640000</v>
      </c>
      <c r="S867" s="3">
        <v>0</v>
      </c>
      <c r="T867" s="32">
        <v>0</v>
      </c>
      <c r="U867" s="3">
        <v>0</v>
      </c>
      <c r="V867" s="6" t="e">
        <f t="shared" si="239"/>
        <v>#DIV/0!</v>
      </c>
    </row>
    <row r="868" spans="1:258" ht="25.2" customHeight="1" x14ac:dyDescent="0.3">
      <c r="A868" s="46" t="s">
        <v>1666</v>
      </c>
      <c r="B868" s="54" t="s">
        <v>733</v>
      </c>
      <c r="C868" s="2">
        <f t="shared" si="237"/>
        <v>1791900</v>
      </c>
      <c r="D868" s="3">
        <f t="shared" si="238"/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3">
        <v>271.5</v>
      </c>
      <c r="N868" s="3">
        <f>M868*6600</f>
        <v>1791900</v>
      </c>
      <c r="O868" s="3">
        <v>0</v>
      </c>
      <c r="P868" s="3">
        <v>0</v>
      </c>
      <c r="Q868" s="3">
        <v>0</v>
      </c>
      <c r="R868" s="3">
        <f>Q868*3200</f>
        <v>0</v>
      </c>
      <c r="S868" s="3">
        <v>0</v>
      </c>
      <c r="T868" s="3">
        <v>0</v>
      </c>
      <c r="U868" s="3">
        <v>0</v>
      </c>
      <c r="V868" s="6">
        <f t="shared" si="239"/>
        <v>6600</v>
      </c>
    </row>
    <row r="869" spans="1:258" ht="25.2" customHeight="1" x14ac:dyDescent="0.3">
      <c r="A869" s="46" t="s">
        <v>1667</v>
      </c>
      <c r="B869" s="54" t="s">
        <v>734</v>
      </c>
      <c r="C869" s="2">
        <f t="shared" si="237"/>
        <v>1851960.0000000002</v>
      </c>
      <c r="D869" s="3">
        <f t="shared" si="238"/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280.60000000000002</v>
      </c>
      <c r="N869" s="3">
        <f>M869*6600</f>
        <v>1851960.0000000002</v>
      </c>
      <c r="O869" s="3">
        <v>0</v>
      </c>
      <c r="P869" s="3">
        <v>0</v>
      </c>
      <c r="Q869" s="3">
        <v>0</v>
      </c>
      <c r="R869" s="3">
        <f>Q869*3200</f>
        <v>0</v>
      </c>
      <c r="S869" s="3">
        <v>0</v>
      </c>
      <c r="T869" s="3">
        <v>0</v>
      </c>
      <c r="U869" s="3">
        <v>0</v>
      </c>
      <c r="V869" s="6">
        <f t="shared" si="239"/>
        <v>6600</v>
      </c>
    </row>
    <row r="870" spans="1:258" ht="25.2" customHeight="1" x14ac:dyDescent="0.3">
      <c r="A870" s="46" t="s">
        <v>1668</v>
      </c>
      <c r="B870" s="54" t="s">
        <v>735</v>
      </c>
      <c r="C870" s="2">
        <f t="shared" si="237"/>
        <v>1842720</v>
      </c>
      <c r="D870" s="3">
        <f t="shared" si="238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279.2</v>
      </c>
      <c r="N870" s="3">
        <f>M870*6600</f>
        <v>1842720</v>
      </c>
      <c r="O870" s="3">
        <v>0</v>
      </c>
      <c r="P870" s="3">
        <v>0</v>
      </c>
      <c r="Q870" s="3">
        <v>0</v>
      </c>
      <c r="R870" s="3">
        <f>Q870*3200</f>
        <v>0</v>
      </c>
      <c r="S870" s="3">
        <v>0</v>
      </c>
      <c r="T870" s="3">
        <v>0</v>
      </c>
      <c r="U870" s="3">
        <v>0</v>
      </c>
      <c r="V870" s="6">
        <f t="shared" si="239"/>
        <v>6600</v>
      </c>
    </row>
    <row r="871" spans="1:258" ht="25.2" customHeight="1" x14ac:dyDescent="0.3">
      <c r="A871" s="46" t="s">
        <v>1669</v>
      </c>
      <c r="B871" s="49" t="s">
        <v>472</v>
      </c>
      <c r="C871" s="2">
        <f t="shared" si="237"/>
        <v>3649800</v>
      </c>
      <c r="D871" s="3">
        <f t="shared" si="238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553</v>
      </c>
      <c r="N871" s="3">
        <f>M871*6600</f>
        <v>3649800</v>
      </c>
      <c r="O871" s="3">
        <v>0</v>
      </c>
      <c r="P871" s="3">
        <v>0</v>
      </c>
      <c r="Q871" s="3">
        <v>0</v>
      </c>
      <c r="R871" s="3">
        <f>Q871*3000</f>
        <v>0</v>
      </c>
      <c r="S871" s="3">
        <v>0</v>
      </c>
      <c r="T871" s="32">
        <v>0</v>
      </c>
      <c r="U871" s="3">
        <v>0</v>
      </c>
      <c r="V871" s="6">
        <f t="shared" si="239"/>
        <v>6600</v>
      </c>
    </row>
    <row r="872" spans="1:258" ht="25.2" customHeight="1" x14ac:dyDescent="0.3">
      <c r="A872" s="46" t="s">
        <v>1670</v>
      </c>
      <c r="B872" s="54" t="s">
        <v>555</v>
      </c>
      <c r="C872" s="2">
        <f t="shared" si="237"/>
        <v>5024844.87</v>
      </c>
      <c r="D872" s="3">
        <f t="shared" si="238"/>
        <v>1915276</v>
      </c>
      <c r="E872" s="3">
        <v>0</v>
      </c>
      <c r="F872" s="3">
        <f>1300*1008.04</f>
        <v>1310452</v>
      </c>
      <c r="G872" s="3">
        <f>300*1008.04</f>
        <v>302412</v>
      </c>
      <c r="H872" s="3">
        <v>0</v>
      </c>
      <c r="I872" s="3">
        <f>300*1008.04</f>
        <v>302412</v>
      </c>
      <c r="J872" s="3">
        <f>350*0</f>
        <v>0</v>
      </c>
      <c r="K872" s="33">
        <v>0</v>
      </c>
      <c r="L872" s="32">
        <v>0</v>
      </c>
      <c r="M872" s="32">
        <v>0</v>
      </c>
      <c r="N872" s="32">
        <v>0</v>
      </c>
      <c r="O872" s="32">
        <v>0</v>
      </c>
      <c r="P872" s="32">
        <v>0</v>
      </c>
      <c r="Q872" s="32">
        <v>934.8</v>
      </c>
      <c r="R872" s="3">
        <f t="shared" ref="R872:R877" si="240">Q872*3200</f>
        <v>2991360</v>
      </c>
      <c r="S872" s="32">
        <v>0</v>
      </c>
      <c r="T872" s="32">
        <v>0</v>
      </c>
      <c r="U872" s="32">
        <v>118208.87</v>
      </c>
      <c r="V872" s="6" t="e">
        <f t="shared" si="239"/>
        <v>#DIV/0!</v>
      </c>
    </row>
    <row r="873" spans="1:258" s="70" customFormat="1" ht="25.2" customHeight="1" x14ac:dyDescent="0.3">
      <c r="A873" s="46" t="s">
        <v>1671</v>
      </c>
      <c r="B873" s="49" t="s">
        <v>736</v>
      </c>
      <c r="C873" s="2">
        <f t="shared" si="237"/>
        <v>3498000</v>
      </c>
      <c r="D873" s="3">
        <f t="shared" si="238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530</v>
      </c>
      <c r="N873" s="3">
        <f>M873*6600</f>
        <v>3498000</v>
      </c>
      <c r="O873" s="3">
        <v>0</v>
      </c>
      <c r="P873" s="3">
        <v>0</v>
      </c>
      <c r="Q873" s="3">
        <v>0</v>
      </c>
      <c r="R873" s="3">
        <f t="shared" si="240"/>
        <v>0</v>
      </c>
      <c r="S873" s="3">
        <v>0</v>
      </c>
      <c r="T873" s="3">
        <v>0</v>
      </c>
      <c r="U873" s="3">
        <v>0</v>
      </c>
      <c r="V873" s="6">
        <f t="shared" si="239"/>
        <v>6600</v>
      </c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7"/>
      <c r="DO873" s="7"/>
      <c r="DP873" s="7"/>
      <c r="DQ873" s="7"/>
      <c r="DR873" s="7"/>
      <c r="DS873" s="7"/>
      <c r="DT873" s="7"/>
      <c r="DU873" s="7"/>
      <c r="DV873" s="7"/>
      <c r="DW873" s="7"/>
      <c r="DX873" s="7"/>
      <c r="DY873" s="7"/>
      <c r="DZ873" s="7"/>
      <c r="EA873" s="7"/>
      <c r="EB873" s="7"/>
      <c r="EC873" s="7"/>
      <c r="ED873" s="7"/>
      <c r="EE873" s="7"/>
      <c r="EF873" s="7"/>
      <c r="EG873" s="7"/>
      <c r="EH873" s="7"/>
      <c r="EI873" s="7"/>
      <c r="EJ873" s="7"/>
      <c r="EK873" s="7"/>
      <c r="EL873" s="7"/>
      <c r="EM873" s="7"/>
      <c r="EN873" s="7"/>
      <c r="EO873" s="7"/>
      <c r="EP873" s="7"/>
      <c r="EQ873" s="7"/>
      <c r="ER873" s="7"/>
      <c r="ES873" s="7"/>
      <c r="ET873" s="7"/>
      <c r="EU873" s="7"/>
      <c r="EV873" s="7"/>
      <c r="EW873" s="7"/>
      <c r="EX873" s="7"/>
      <c r="EY873" s="7"/>
      <c r="EZ873" s="7"/>
      <c r="FA873" s="7"/>
      <c r="FB873" s="7"/>
      <c r="FC873" s="7"/>
      <c r="FD873" s="7"/>
      <c r="FE873" s="7"/>
      <c r="FF873" s="7"/>
      <c r="FG873" s="7"/>
      <c r="FH873" s="7"/>
      <c r="FI873" s="7"/>
      <c r="FJ873" s="7"/>
      <c r="FK873" s="7"/>
      <c r="FL873" s="7"/>
      <c r="FM873" s="7"/>
      <c r="FN873" s="7"/>
      <c r="FO873" s="7"/>
      <c r="FP873" s="7"/>
      <c r="FQ873" s="7"/>
      <c r="FR873" s="7"/>
      <c r="FS873" s="7"/>
      <c r="FT873" s="7"/>
      <c r="FU873" s="7"/>
      <c r="FV873" s="7"/>
      <c r="FW873" s="7"/>
      <c r="FX873" s="7"/>
      <c r="FY873" s="7"/>
      <c r="FZ873" s="7"/>
      <c r="GA873" s="7"/>
      <c r="GB873" s="7"/>
      <c r="GC873" s="7"/>
      <c r="GD873" s="7"/>
      <c r="GE873" s="7"/>
      <c r="GF873" s="7"/>
      <c r="GG873" s="7"/>
      <c r="GH873" s="7"/>
      <c r="GI873" s="7"/>
      <c r="GJ873" s="7"/>
      <c r="GK873" s="7"/>
      <c r="GL873" s="7"/>
      <c r="GM873" s="7"/>
      <c r="GN873" s="7"/>
      <c r="GO873" s="7"/>
      <c r="GP873" s="7"/>
      <c r="GQ873" s="7"/>
      <c r="GR873" s="7"/>
      <c r="GS873" s="7"/>
      <c r="GT873" s="7"/>
      <c r="GU873" s="7"/>
      <c r="GV873" s="7"/>
      <c r="GW873" s="7"/>
      <c r="GX873" s="7"/>
      <c r="GY873" s="7"/>
      <c r="GZ873" s="7"/>
      <c r="HA873" s="7"/>
      <c r="HB873" s="7"/>
      <c r="HC873" s="7"/>
      <c r="HD873" s="7"/>
      <c r="HE873" s="7"/>
      <c r="HF873" s="7"/>
      <c r="HG873" s="7"/>
      <c r="HH873" s="7"/>
      <c r="HI873" s="7"/>
      <c r="HJ873" s="7"/>
      <c r="HK873" s="7"/>
      <c r="HL873" s="7"/>
      <c r="HM873" s="7"/>
      <c r="HN873" s="7"/>
      <c r="HO873" s="7"/>
      <c r="HP873" s="7"/>
      <c r="HQ873" s="7"/>
      <c r="HR873" s="7"/>
      <c r="HS873" s="7"/>
      <c r="HT873" s="7"/>
      <c r="HU873" s="7"/>
      <c r="HV873" s="7"/>
      <c r="HW873" s="7"/>
      <c r="HX873" s="7"/>
      <c r="HY873" s="7"/>
      <c r="HZ873" s="7"/>
      <c r="IA873" s="7"/>
      <c r="IB873" s="7"/>
      <c r="IC873" s="7"/>
      <c r="ID873" s="7"/>
      <c r="IE873" s="7"/>
      <c r="IF873" s="7"/>
      <c r="IG873" s="7"/>
      <c r="IH873" s="7"/>
      <c r="II873" s="7"/>
      <c r="IJ873" s="7"/>
      <c r="IK873" s="7"/>
      <c r="IL873" s="7"/>
      <c r="IM873" s="7"/>
      <c r="IN873" s="7"/>
      <c r="IO873" s="7"/>
      <c r="IP873" s="7"/>
      <c r="IQ873" s="7"/>
      <c r="IR873" s="7"/>
      <c r="IS873" s="7"/>
      <c r="IT873" s="7"/>
      <c r="IU873" s="7"/>
      <c r="IV873" s="7"/>
      <c r="IW873" s="7"/>
      <c r="IX873" s="7"/>
    </row>
    <row r="874" spans="1:258" ht="25.2" customHeight="1" x14ac:dyDescent="0.3">
      <c r="A874" s="46" t="s">
        <v>1672</v>
      </c>
      <c r="B874" s="49" t="s">
        <v>559</v>
      </c>
      <c r="C874" s="2">
        <f t="shared" si="237"/>
        <v>1947000</v>
      </c>
      <c r="D874" s="3">
        <f t="shared" si="238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33">
        <v>0</v>
      </c>
      <c r="L874" s="32">
        <v>0</v>
      </c>
      <c r="M874" s="32">
        <v>295</v>
      </c>
      <c r="N874" s="3">
        <f>M874*6600</f>
        <v>1947000</v>
      </c>
      <c r="O874" s="32">
        <v>0</v>
      </c>
      <c r="P874" s="32">
        <v>0</v>
      </c>
      <c r="Q874" s="32">
        <v>0</v>
      </c>
      <c r="R874" s="3">
        <f t="shared" si="240"/>
        <v>0</v>
      </c>
      <c r="S874" s="32">
        <v>0</v>
      </c>
      <c r="T874" s="32">
        <v>0</v>
      </c>
      <c r="U874" s="32">
        <v>0</v>
      </c>
      <c r="V874" s="6">
        <f t="shared" si="239"/>
        <v>6600</v>
      </c>
    </row>
    <row r="875" spans="1:258" s="59" customFormat="1" ht="24.6" customHeight="1" x14ac:dyDescent="0.3">
      <c r="A875" s="46" t="s">
        <v>1973</v>
      </c>
      <c r="B875" s="49" t="s">
        <v>652</v>
      </c>
      <c r="C875" s="2">
        <f t="shared" si="237"/>
        <v>300000</v>
      </c>
      <c r="D875" s="3">
        <f t="shared" si="238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0</v>
      </c>
      <c r="N875" s="3">
        <f>M875*6600</f>
        <v>0</v>
      </c>
      <c r="O875" s="3">
        <v>0</v>
      </c>
      <c r="P875" s="3">
        <v>0</v>
      </c>
      <c r="Q875" s="3">
        <v>0</v>
      </c>
      <c r="R875" s="3">
        <f t="shared" si="240"/>
        <v>0</v>
      </c>
      <c r="S875" s="3">
        <v>0</v>
      </c>
      <c r="T875" s="3">
        <v>0</v>
      </c>
      <c r="U875" s="3">
        <v>300000</v>
      </c>
      <c r="V875" s="6" t="e">
        <f t="shared" si="239"/>
        <v>#DIV/0!</v>
      </c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7"/>
      <c r="DO875" s="7"/>
      <c r="DP875" s="7"/>
      <c r="DQ875" s="7"/>
      <c r="DR875" s="7"/>
      <c r="DS875" s="7"/>
      <c r="DT875" s="7"/>
      <c r="DU875" s="7"/>
      <c r="DV875" s="7"/>
      <c r="DW875" s="7"/>
      <c r="DX875" s="7"/>
      <c r="DY875" s="7"/>
      <c r="DZ875" s="7"/>
      <c r="EA875" s="7"/>
      <c r="EB875" s="7"/>
      <c r="EC875" s="7"/>
      <c r="ED875" s="7"/>
      <c r="EE875" s="7"/>
      <c r="EF875" s="7"/>
      <c r="EG875" s="7"/>
      <c r="EH875" s="7"/>
      <c r="EI875" s="7"/>
      <c r="EJ875" s="7"/>
      <c r="EK875" s="7"/>
      <c r="EL875" s="7"/>
      <c r="EM875" s="7"/>
      <c r="EN875" s="7"/>
      <c r="EO875" s="7"/>
      <c r="EP875" s="7"/>
      <c r="EQ875" s="7"/>
      <c r="ER875" s="7"/>
      <c r="ES875" s="7"/>
      <c r="ET875" s="7"/>
      <c r="EU875" s="7"/>
      <c r="EV875" s="7"/>
      <c r="EW875" s="7"/>
      <c r="EX875" s="7"/>
      <c r="EY875" s="7"/>
      <c r="EZ875" s="7"/>
      <c r="FA875" s="7"/>
      <c r="FB875" s="7"/>
      <c r="FC875" s="7"/>
      <c r="FD875" s="7"/>
      <c r="FE875" s="7"/>
      <c r="FF875" s="7"/>
      <c r="FG875" s="7"/>
      <c r="FH875" s="7"/>
      <c r="FI875" s="7"/>
      <c r="FJ875" s="7"/>
      <c r="FK875" s="7"/>
      <c r="FL875" s="7"/>
      <c r="FM875" s="7"/>
      <c r="FN875" s="7"/>
      <c r="FO875" s="7"/>
      <c r="FP875" s="7"/>
      <c r="FQ875" s="7"/>
      <c r="FR875" s="7"/>
      <c r="FS875" s="7"/>
      <c r="FT875" s="7"/>
      <c r="FU875" s="7"/>
      <c r="FV875" s="7"/>
      <c r="FW875" s="7"/>
      <c r="FX875" s="7"/>
      <c r="FY875" s="7"/>
      <c r="FZ875" s="7"/>
      <c r="GA875" s="7"/>
      <c r="GB875" s="7"/>
      <c r="GC875" s="7"/>
      <c r="GD875" s="7"/>
      <c r="GE875" s="7"/>
      <c r="GF875" s="7"/>
      <c r="GG875" s="7"/>
      <c r="GH875" s="7"/>
      <c r="GI875" s="7"/>
      <c r="GJ875" s="7"/>
      <c r="GK875" s="7"/>
      <c r="GL875" s="7"/>
      <c r="GM875" s="7"/>
      <c r="GN875" s="7"/>
      <c r="GO875" s="7"/>
      <c r="GP875" s="7"/>
      <c r="GQ875" s="7"/>
      <c r="GR875" s="7"/>
      <c r="GS875" s="7"/>
      <c r="GT875" s="7"/>
      <c r="GU875" s="7"/>
      <c r="GV875" s="7"/>
      <c r="GW875" s="7"/>
      <c r="GX875" s="7"/>
      <c r="GY875" s="7"/>
      <c r="GZ875" s="7"/>
      <c r="HA875" s="7"/>
      <c r="HB875" s="7"/>
      <c r="HC875" s="7"/>
      <c r="HD875" s="7"/>
      <c r="HE875" s="7"/>
      <c r="HF875" s="7"/>
      <c r="HG875" s="7"/>
      <c r="HH875" s="7"/>
      <c r="HI875" s="7"/>
      <c r="HJ875" s="7"/>
      <c r="HK875" s="7"/>
      <c r="HL875" s="7"/>
      <c r="HM875" s="7"/>
      <c r="HN875" s="7"/>
      <c r="HO875" s="7"/>
      <c r="HP875" s="7"/>
      <c r="HQ875" s="7"/>
      <c r="HR875" s="7"/>
      <c r="HS875" s="7"/>
      <c r="HT875" s="7"/>
      <c r="HU875" s="7"/>
      <c r="HV875" s="7"/>
      <c r="HW875" s="7"/>
      <c r="HX875" s="7"/>
      <c r="HY875" s="7"/>
      <c r="HZ875" s="7"/>
      <c r="IA875" s="7"/>
      <c r="IB875" s="7"/>
      <c r="IC875" s="7"/>
      <c r="ID875" s="7"/>
      <c r="IE875" s="7"/>
      <c r="IF875" s="7"/>
      <c r="IG875" s="7"/>
      <c r="IH875" s="7"/>
      <c r="II875" s="7"/>
      <c r="IJ875" s="7"/>
      <c r="IK875" s="7"/>
      <c r="IL875" s="7"/>
      <c r="IM875" s="7"/>
      <c r="IN875" s="7"/>
      <c r="IO875" s="7"/>
      <c r="IP875" s="7"/>
      <c r="IQ875" s="7"/>
      <c r="IR875" s="7"/>
      <c r="IS875" s="7"/>
      <c r="IT875" s="7"/>
      <c r="IU875" s="7"/>
      <c r="IV875" s="7"/>
      <c r="IW875" s="7"/>
      <c r="IX875" s="7"/>
    </row>
    <row r="876" spans="1:258" ht="25.2" customHeight="1" x14ac:dyDescent="0.3">
      <c r="A876" s="46" t="s">
        <v>1673</v>
      </c>
      <c r="B876" s="49" t="s">
        <v>737</v>
      </c>
      <c r="C876" s="2">
        <f t="shared" si="237"/>
        <v>15759496.130000001</v>
      </c>
      <c r="D876" s="3">
        <f t="shared" si="238"/>
        <v>8402400</v>
      </c>
      <c r="E876" s="3">
        <f>700*3234</f>
        <v>2263800</v>
      </c>
      <c r="F876" s="3">
        <f>1300*3234</f>
        <v>4204200</v>
      </c>
      <c r="G876" s="3">
        <f>300*3224</f>
        <v>967200</v>
      </c>
      <c r="H876" s="3">
        <v>0</v>
      </c>
      <c r="I876" s="3">
        <f>300*3224</f>
        <v>967200</v>
      </c>
      <c r="J876" s="3">
        <v>0</v>
      </c>
      <c r="K876" s="4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2183.6999999999998</v>
      </c>
      <c r="R876" s="3">
        <f t="shared" si="240"/>
        <v>6987839.9999999991</v>
      </c>
      <c r="S876" s="3">
        <v>0</v>
      </c>
      <c r="T876" s="3">
        <v>0</v>
      </c>
      <c r="U876" s="3">
        <v>369256.13</v>
      </c>
      <c r="V876" s="6" t="e">
        <f t="shared" si="239"/>
        <v>#DIV/0!</v>
      </c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  <c r="AL876" s="59"/>
      <c r="AM876" s="59"/>
      <c r="AN876" s="59"/>
      <c r="AO876" s="59"/>
      <c r="AP876" s="59"/>
      <c r="AQ876" s="59"/>
      <c r="AR876" s="59"/>
      <c r="AS876" s="59"/>
      <c r="AT876" s="59"/>
      <c r="AU876" s="59"/>
      <c r="AV876" s="59"/>
      <c r="AW876" s="59"/>
      <c r="AX876" s="59"/>
      <c r="AY876" s="59"/>
      <c r="AZ876" s="59"/>
      <c r="BA876" s="59"/>
      <c r="BB876" s="59"/>
      <c r="BC876" s="59"/>
      <c r="BD876" s="59"/>
      <c r="BE876" s="59"/>
      <c r="BF876" s="59"/>
      <c r="BG876" s="59"/>
      <c r="BH876" s="59"/>
      <c r="BI876" s="59"/>
      <c r="BJ876" s="59"/>
      <c r="BK876" s="59"/>
      <c r="BL876" s="59"/>
      <c r="BM876" s="59"/>
      <c r="BN876" s="59"/>
      <c r="BO876" s="59"/>
      <c r="BP876" s="59"/>
      <c r="BQ876" s="59"/>
      <c r="BR876" s="59"/>
      <c r="BS876" s="59"/>
      <c r="BT876" s="59"/>
      <c r="BU876" s="59"/>
      <c r="BV876" s="59"/>
      <c r="BW876" s="59"/>
      <c r="BX876" s="59"/>
      <c r="BY876" s="59"/>
      <c r="BZ876" s="59"/>
      <c r="CA876" s="59"/>
      <c r="CB876" s="59"/>
      <c r="CC876" s="59"/>
      <c r="CD876" s="59"/>
      <c r="CE876" s="59"/>
      <c r="CF876" s="59"/>
      <c r="CG876" s="59"/>
      <c r="CH876" s="59"/>
      <c r="CI876" s="59"/>
      <c r="CJ876" s="59"/>
      <c r="CK876" s="59"/>
      <c r="CL876" s="59"/>
      <c r="CM876" s="59"/>
      <c r="CN876" s="59"/>
      <c r="CO876" s="59"/>
      <c r="CP876" s="59"/>
      <c r="CQ876" s="59"/>
      <c r="CR876" s="59"/>
      <c r="CS876" s="59"/>
      <c r="CT876" s="59"/>
      <c r="CU876" s="59"/>
      <c r="CV876" s="59"/>
      <c r="CW876" s="59"/>
      <c r="CX876" s="59"/>
      <c r="CY876" s="59"/>
      <c r="CZ876" s="59"/>
      <c r="DA876" s="59"/>
      <c r="DB876" s="59"/>
      <c r="DC876" s="59"/>
      <c r="DD876" s="59"/>
      <c r="DE876" s="59"/>
      <c r="DF876" s="59"/>
      <c r="DG876" s="59"/>
      <c r="DH876" s="59"/>
      <c r="DI876" s="59"/>
      <c r="DJ876" s="59"/>
      <c r="DK876" s="59"/>
      <c r="DL876" s="59"/>
      <c r="DM876" s="59"/>
      <c r="DN876" s="59"/>
      <c r="DO876" s="59"/>
      <c r="DP876" s="59"/>
      <c r="DQ876" s="59"/>
      <c r="DR876" s="59"/>
      <c r="DS876" s="59"/>
      <c r="DT876" s="59"/>
      <c r="DU876" s="59"/>
      <c r="DV876" s="59"/>
      <c r="DW876" s="59"/>
      <c r="DX876" s="59"/>
      <c r="DY876" s="59"/>
      <c r="DZ876" s="59"/>
      <c r="EA876" s="59"/>
      <c r="EB876" s="59"/>
      <c r="EC876" s="59"/>
      <c r="ED876" s="59"/>
      <c r="EE876" s="59"/>
      <c r="EF876" s="59"/>
      <c r="EG876" s="59"/>
      <c r="EH876" s="59"/>
      <c r="EI876" s="59"/>
      <c r="EJ876" s="59"/>
      <c r="EK876" s="59"/>
      <c r="EL876" s="59"/>
      <c r="EM876" s="59"/>
      <c r="EN876" s="59"/>
      <c r="EO876" s="59"/>
      <c r="EP876" s="59"/>
      <c r="EQ876" s="59"/>
      <c r="ER876" s="59"/>
      <c r="ES876" s="59"/>
      <c r="ET876" s="59"/>
      <c r="EU876" s="59"/>
      <c r="EV876" s="59"/>
      <c r="EW876" s="59"/>
      <c r="EX876" s="59"/>
      <c r="EY876" s="59"/>
      <c r="EZ876" s="59"/>
      <c r="FA876" s="59"/>
      <c r="FB876" s="59"/>
      <c r="FC876" s="59"/>
      <c r="FD876" s="59"/>
      <c r="FE876" s="59"/>
      <c r="FF876" s="59"/>
      <c r="FG876" s="59"/>
      <c r="FH876" s="59"/>
      <c r="FI876" s="59"/>
      <c r="FJ876" s="59"/>
      <c r="FK876" s="59"/>
      <c r="FL876" s="59"/>
      <c r="FM876" s="59"/>
      <c r="FN876" s="59"/>
      <c r="FO876" s="59"/>
      <c r="FP876" s="59"/>
      <c r="FQ876" s="59"/>
      <c r="FR876" s="59"/>
      <c r="FS876" s="59"/>
      <c r="FT876" s="59"/>
      <c r="FU876" s="59"/>
      <c r="FV876" s="59"/>
      <c r="FW876" s="59"/>
      <c r="FX876" s="59"/>
      <c r="FY876" s="59"/>
      <c r="FZ876" s="59"/>
      <c r="GA876" s="59"/>
      <c r="GB876" s="59"/>
      <c r="GC876" s="59"/>
      <c r="GD876" s="59"/>
      <c r="GE876" s="59"/>
      <c r="GF876" s="59"/>
      <c r="GG876" s="59"/>
      <c r="GH876" s="59"/>
      <c r="GI876" s="59"/>
      <c r="GJ876" s="59"/>
      <c r="GK876" s="59"/>
      <c r="GL876" s="59"/>
      <c r="GM876" s="59"/>
      <c r="GN876" s="59"/>
      <c r="GO876" s="59"/>
      <c r="GP876" s="59"/>
      <c r="GQ876" s="59"/>
      <c r="GR876" s="59"/>
      <c r="GS876" s="59"/>
      <c r="GT876" s="59"/>
      <c r="GU876" s="59"/>
      <c r="GV876" s="59"/>
      <c r="GW876" s="59"/>
      <c r="GX876" s="59"/>
      <c r="GY876" s="59"/>
      <c r="GZ876" s="59"/>
      <c r="HA876" s="59"/>
      <c r="HB876" s="59"/>
      <c r="HC876" s="59"/>
      <c r="HD876" s="59"/>
      <c r="HE876" s="59"/>
      <c r="HF876" s="59"/>
      <c r="HG876" s="59"/>
      <c r="HH876" s="59"/>
      <c r="HI876" s="59"/>
      <c r="HJ876" s="59"/>
      <c r="HK876" s="59"/>
      <c r="HL876" s="59"/>
      <c r="HM876" s="59"/>
      <c r="HN876" s="59"/>
      <c r="HO876" s="59"/>
      <c r="HP876" s="59"/>
      <c r="HQ876" s="59"/>
      <c r="HR876" s="59"/>
      <c r="HS876" s="59"/>
      <c r="HT876" s="59"/>
      <c r="HU876" s="59"/>
      <c r="HV876" s="59"/>
      <c r="HW876" s="59"/>
      <c r="HX876" s="59"/>
      <c r="HY876" s="59"/>
      <c r="HZ876" s="59"/>
      <c r="IA876" s="59"/>
      <c r="IB876" s="59"/>
      <c r="IC876" s="59"/>
      <c r="ID876" s="59"/>
      <c r="IE876" s="59"/>
      <c r="IF876" s="59"/>
      <c r="IG876" s="59"/>
      <c r="IH876" s="59"/>
      <c r="II876" s="59"/>
      <c r="IJ876" s="59"/>
      <c r="IK876" s="59"/>
      <c r="IL876" s="59"/>
      <c r="IM876" s="59"/>
      <c r="IN876" s="59"/>
      <c r="IO876" s="59"/>
      <c r="IP876" s="59"/>
      <c r="IQ876" s="59"/>
      <c r="IR876" s="59"/>
      <c r="IS876" s="59"/>
      <c r="IT876" s="59"/>
      <c r="IU876" s="59"/>
      <c r="IV876" s="59"/>
      <c r="IW876" s="59"/>
      <c r="IX876" s="59"/>
    </row>
    <row r="877" spans="1:258" ht="25.2" customHeight="1" x14ac:dyDescent="0.3">
      <c r="A877" s="46" t="s">
        <v>1674</v>
      </c>
      <c r="B877" s="49" t="s">
        <v>738</v>
      </c>
      <c r="C877" s="2">
        <f t="shared" si="237"/>
        <v>6171000</v>
      </c>
      <c r="D877" s="3">
        <f t="shared" si="238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935</v>
      </c>
      <c r="N877" s="3">
        <f>M877*6600</f>
        <v>6171000</v>
      </c>
      <c r="O877" s="3">
        <v>0</v>
      </c>
      <c r="P877" s="3">
        <v>0</v>
      </c>
      <c r="Q877" s="3">
        <v>0</v>
      </c>
      <c r="R877" s="3">
        <f t="shared" si="240"/>
        <v>0</v>
      </c>
      <c r="S877" s="3">
        <v>0</v>
      </c>
      <c r="T877" s="3">
        <v>0</v>
      </c>
      <c r="U877" s="3">
        <v>0</v>
      </c>
      <c r="V877" s="6">
        <f t="shared" si="239"/>
        <v>6600</v>
      </c>
    </row>
    <row r="878" spans="1:258" ht="25.2" customHeight="1" x14ac:dyDescent="0.3">
      <c r="A878" s="46" t="s">
        <v>1675</v>
      </c>
      <c r="B878" s="54" t="s">
        <v>482</v>
      </c>
      <c r="C878" s="2">
        <f t="shared" si="237"/>
        <v>8268540.0000000009</v>
      </c>
      <c r="D878" s="3">
        <f t="shared" si="238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1161.9000000000001</v>
      </c>
      <c r="N878" s="3">
        <f>M878*6600</f>
        <v>7668540.0000000009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600000</v>
      </c>
      <c r="V878" s="6">
        <f t="shared" si="239"/>
        <v>6600</v>
      </c>
    </row>
    <row r="879" spans="1:258" ht="25.2" customHeight="1" x14ac:dyDescent="0.3">
      <c r="A879" s="46" t="s">
        <v>1676</v>
      </c>
      <c r="B879" s="54" t="s">
        <v>484</v>
      </c>
      <c r="C879" s="2">
        <f t="shared" si="237"/>
        <v>21127722</v>
      </c>
      <c r="D879" s="3">
        <f t="shared" si="238"/>
        <v>5150262</v>
      </c>
      <c r="E879" s="3">
        <f>700*1980.87</f>
        <v>1386609</v>
      </c>
      <c r="F879" s="3">
        <f>1300*1980.87</f>
        <v>2575131</v>
      </c>
      <c r="G879" s="3">
        <f>300*1980.87</f>
        <v>594261</v>
      </c>
      <c r="H879" s="3">
        <f>500*0</f>
        <v>0</v>
      </c>
      <c r="I879" s="3">
        <f>300*1980.87</f>
        <v>594261</v>
      </c>
      <c r="J879" s="3">
        <f>350*0</f>
        <v>0</v>
      </c>
      <c r="K879" s="4">
        <v>0</v>
      </c>
      <c r="L879" s="3">
        <v>0</v>
      </c>
      <c r="M879" s="3">
        <v>1748.1</v>
      </c>
      <c r="N879" s="3">
        <f>M879*6600</f>
        <v>11537460</v>
      </c>
      <c r="O879" s="3">
        <v>0</v>
      </c>
      <c r="P879" s="3">
        <v>0</v>
      </c>
      <c r="Q879" s="3">
        <v>1200</v>
      </c>
      <c r="R879" s="3">
        <f>Q879*3200</f>
        <v>3840000</v>
      </c>
      <c r="S879" s="3">
        <v>0</v>
      </c>
      <c r="T879" s="3">
        <v>0</v>
      </c>
      <c r="U879" s="3">
        <v>600000</v>
      </c>
      <c r="V879" s="6">
        <f t="shared" si="239"/>
        <v>6600</v>
      </c>
    </row>
    <row r="880" spans="1:258" ht="25.2" customHeight="1" x14ac:dyDescent="0.3">
      <c r="A880" s="46" t="s">
        <v>1677</v>
      </c>
      <c r="B880" s="49" t="s">
        <v>739</v>
      </c>
      <c r="C880" s="2">
        <f t="shared" si="237"/>
        <v>6138000</v>
      </c>
      <c r="D880" s="3">
        <f t="shared" si="238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33">
        <v>0</v>
      </c>
      <c r="L880" s="32">
        <v>0</v>
      </c>
      <c r="M880" s="32">
        <v>930</v>
      </c>
      <c r="N880" s="3">
        <f>M880*6600</f>
        <v>6138000</v>
      </c>
      <c r="O880" s="32">
        <v>0</v>
      </c>
      <c r="P880" s="32">
        <v>0</v>
      </c>
      <c r="Q880" s="32">
        <v>0</v>
      </c>
      <c r="R880" s="3">
        <f>Q880*3200</f>
        <v>0</v>
      </c>
      <c r="S880" s="32">
        <v>0</v>
      </c>
      <c r="T880" s="32">
        <v>0</v>
      </c>
      <c r="U880" s="32">
        <v>0</v>
      </c>
      <c r="V880" s="6">
        <f t="shared" si="239"/>
        <v>6600</v>
      </c>
    </row>
    <row r="881" spans="1:258" ht="25.2" customHeight="1" x14ac:dyDescent="0.3">
      <c r="A881" s="46" t="s">
        <v>1678</v>
      </c>
      <c r="B881" s="49" t="s">
        <v>560</v>
      </c>
      <c r="C881" s="2">
        <f t="shared" si="237"/>
        <v>10117908.75</v>
      </c>
      <c r="D881" s="3">
        <f t="shared" si="238"/>
        <v>5621100</v>
      </c>
      <c r="E881" s="3">
        <f>700*1873.7</f>
        <v>1311590</v>
      </c>
      <c r="F881" s="3">
        <f>1300*1873.7</f>
        <v>2435810</v>
      </c>
      <c r="G881" s="3">
        <f>300*1873.7</f>
        <v>562110</v>
      </c>
      <c r="H881" s="3">
        <f>400*1873.7</f>
        <v>749480</v>
      </c>
      <c r="I881" s="3">
        <f>300*1873.7</f>
        <v>562110</v>
      </c>
      <c r="J881" s="3">
        <f>350*0</f>
        <v>0</v>
      </c>
      <c r="K881" s="33">
        <v>0</v>
      </c>
      <c r="L881" s="32">
        <v>0</v>
      </c>
      <c r="M881" s="32">
        <v>0</v>
      </c>
      <c r="N881" s="32">
        <v>0</v>
      </c>
      <c r="O881" s="32">
        <v>0</v>
      </c>
      <c r="P881" s="32">
        <v>0</v>
      </c>
      <c r="Q881" s="32">
        <v>1343</v>
      </c>
      <c r="R881" s="3">
        <f>Q881*3200</f>
        <v>4297600</v>
      </c>
      <c r="S881" s="32">
        <v>0</v>
      </c>
      <c r="T881" s="32">
        <v>0</v>
      </c>
      <c r="U881" s="32">
        <v>199208.75</v>
      </c>
      <c r="V881" s="6" t="e">
        <f t="shared" si="239"/>
        <v>#DIV/0!</v>
      </c>
    </row>
    <row r="882" spans="1:258" ht="25.2" customHeight="1" x14ac:dyDescent="0.3">
      <c r="A882" s="46" t="s">
        <v>1974</v>
      </c>
      <c r="B882" s="49" t="s">
        <v>370</v>
      </c>
      <c r="C882" s="2">
        <f t="shared" si="237"/>
        <v>4461656.6399999997</v>
      </c>
      <c r="D882" s="3">
        <f t="shared" si="238"/>
        <v>4204170</v>
      </c>
      <c r="E882" s="3">
        <v>0</v>
      </c>
      <c r="F882" s="3">
        <f>1300*1827.9</f>
        <v>2376270</v>
      </c>
      <c r="G882" s="3">
        <f>300*1827.9</f>
        <v>548370</v>
      </c>
      <c r="H882" s="3">
        <f>400*1827.9</f>
        <v>731160</v>
      </c>
      <c r="I882" s="3">
        <f>300*1827.9</f>
        <v>548370</v>
      </c>
      <c r="J882" s="3">
        <f>350*0</f>
        <v>0</v>
      </c>
      <c r="K882" s="4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f>Q882*3000</f>
        <v>0</v>
      </c>
      <c r="S882" s="3">
        <v>0</v>
      </c>
      <c r="T882" s="3">
        <v>0</v>
      </c>
      <c r="U882" s="3">
        <v>257486.64</v>
      </c>
      <c r="V882" s="6" t="e">
        <f t="shared" si="239"/>
        <v>#DIV/0!</v>
      </c>
    </row>
    <row r="883" spans="1:258" ht="25.2" customHeight="1" x14ac:dyDescent="0.3">
      <c r="A883" s="46" t="s">
        <v>1679</v>
      </c>
      <c r="B883" s="49" t="s">
        <v>653</v>
      </c>
      <c r="C883" s="2">
        <f t="shared" si="237"/>
        <v>3885420.0000000005</v>
      </c>
      <c r="D883" s="3">
        <f t="shared" si="238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588.70000000000005</v>
      </c>
      <c r="N883" s="3">
        <f t="shared" ref="N883:N891" si="241">M883*6600</f>
        <v>3885420.0000000005</v>
      </c>
      <c r="O883" s="3">
        <v>0</v>
      </c>
      <c r="P883" s="3">
        <v>0</v>
      </c>
      <c r="Q883" s="3">
        <v>0</v>
      </c>
      <c r="R883" s="3">
        <f t="shared" ref="R883:R892" si="242">Q883*3200</f>
        <v>0</v>
      </c>
      <c r="S883" s="3">
        <v>0</v>
      </c>
      <c r="T883" s="32">
        <v>0</v>
      </c>
      <c r="U883" s="32">
        <v>0</v>
      </c>
      <c r="V883" s="6">
        <f t="shared" si="239"/>
        <v>6600</v>
      </c>
    </row>
    <row r="884" spans="1:258" ht="25.2" customHeight="1" x14ac:dyDescent="0.3">
      <c r="A884" s="46" t="s">
        <v>1680</v>
      </c>
      <c r="B884" s="49" t="s">
        <v>740</v>
      </c>
      <c r="C884" s="2">
        <f t="shared" si="237"/>
        <v>3885420.0000000005</v>
      </c>
      <c r="D884" s="3">
        <f t="shared" si="238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588.70000000000005</v>
      </c>
      <c r="N884" s="3">
        <f t="shared" si="241"/>
        <v>3885420.0000000005</v>
      </c>
      <c r="O884" s="3">
        <v>0</v>
      </c>
      <c r="P884" s="3">
        <v>0</v>
      </c>
      <c r="Q884" s="3">
        <v>0</v>
      </c>
      <c r="R884" s="3">
        <f t="shared" si="242"/>
        <v>0</v>
      </c>
      <c r="S884" s="3">
        <v>0</v>
      </c>
      <c r="T884" s="32">
        <v>0</v>
      </c>
      <c r="U884" s="32">
        <v>0</v>
      </c>
      <c r="V884" s="6">
        <f t="shared" si="239"/>
        <v>6600</v>
      </c>
    </row>
    <row r="885" spans="1:258" ht="25.2" customHeight="1" x14ac:dyDescent="0.3">
      <c r="A885" s="46" t="s">
        <v>1681</v>
      </c>
      <c r="B885" s="49" t="s">
        <v>741</v>
      </c>
      <c r="C885" s="2">
        <f t="shared" si="237"/>
        <v>1770120</v>
      </c>
      <c r="D885" s="3">
        <f t="shared" si="238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33">
        <v>0</v>
      </c>
      <c r="L885" s="32">
        <v>0</v>
      </c>
      <c r="M885" s="32">
        <v>268.2</v>
      </c>
      <c r="N885" s="3">
        <f t="shared" si="241"/>
        <v>1770120</v>
      </c>
      <c r="O885" s="32">
        <v>0</v>
      </c>
      <c r="P885" s="32">
        <v>0</v>
      </c>
      <c r="Q885" s="32">
        <v>0</v>
      </c>
      <c r="R885" s="3">
        <f t="shared" si="242"/>
        <v>0</v>
      </c>
      <c r="S885" s="32">
        <v>0</v>
      </c>
      <c r="T885" s="32">
        <v>0</v>
      </c>
      <c r="U885" s="32">
        <v>0</v>
      </c>
      <c r="V885" s="6">
        <f t="shared" si="239"/>
        <v>6600</v>
      </c>
    </row>
    <row r="886" spans="1:258" ht="25.2" customHeight="1" x14ac:dyDescent="0.3">
      <c r="A886" s="46" t="s">
        <v>1682</v>
      </c>
      <c r="B886" s="49" t="s">
        <v>822</v>
      </c>
      <c r="C886" s="2">
        <f t="shared" si="237"/>
        <v>300000</v>
      </c>
      <c r="D886" s="3">
        <f t="shared" si="238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3">
        <v>0</v>
      </c>
      <c r="L886" s="32">
        <v>0</v>
      </c>
      <c r="M886" s="3">
        <v>0</v>
      </c>
      <c r="N886" s="3">
        <f t="shared" si="241"/>
        <v>0</v>
      </c>
      <c r="O886" s="32">
        <v>0</v>
      </c>
      <c r="P886" s="32">
        <v>0</v>
      </c>
      <c r="Q886" s="32">
        <v>0</v>
      </c>
      <c r="R886" s="3">
        <f t="shared" si="242"/>
        <v>0</v>
      </c>
      <c r="S886" s="32">
        <v>0</v>
      </c>
      <c r="T886" s="32">
        <v>0</v>
      </c>
      <c r="U886" s="32">
        <v>300000</v>
      </c>
      <c r="V886" s="6" t="e">
        <f t="shared" si="239"/>
        <v>#DIV/0!</v>
      </c>
    </row>
    <row r="887" spans="1:258" ht="25.2" customHeight="1" x14ac:dyDescent="0.3">
      <c r="A887" s="46" t="s">
        <v>1683</v>
      </c>
      <c r="B887" s="49" t="s">
        <v>742</v>
      </c>
      <c r="C887" s="2">
        <f t="shared" si="237"/>
        <v>2293500</v>
      </c>
      <c r="D887" s="3">
        <f t="shared" si="238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347.5</v>
      </c>
      <c r="N887" s="3">
        <f t="shared" si="241"/>
        <v>2293500</v>
      </c>
      <c r="O887" s="32">
        <v>0</v>
      </c>
      <c r="P887" s="32">
        <v>0</v>
      </c>
      <c r="Q887" s="32">
        <v>0</v>
      </c>
      <c r="R887" s="3">
        <f t="shared" si="242"/>
        <v>0</v>
      </c>
      <c r="S887" s="32">
        <v>0</v>
      </c>
      <c r="T887" s="32">
        <v>0</v>
      </c>
      <c r="U887" s="32">
        <v>0</v>
      </c>
      <c r="V887" s="6">
        <f t="shared" si="239"/>
        <v>6600</v>
      </c>
    </row>
    <row r="888" spans="1:258" ht="25.2" customHeight="1" x14ac:dyDescent="0.3">
      <c r="A888" s="46" t="s">
        <v>1684</v>
      </c>
      <c r="B888" s="49" t="s">
        <v>743</v>
      </c>
      <c r="C888" s="2">
        <f t="shared" si="237"/>
        <v>1800480</v>
      </c>
      <c r="D888" s="3">
        <f t="shared" si="238"/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4">
        <v>0</v>
      </c>
      <c r="L888" s="3">
        <v>0</v>
      </c>
      <c r="M888" s="32">
        <v>272.8</v>
      </c>
      <c r="N888" s="3">
        <f t="shared" si="241"/>
        <v>1800480</v>
      </c>
      <c r="O888" s="32">
        <v>0</v>
      </c>
      <c r="P888" s="32">
        <v>0</v>
      </c>
      <c r="Q888" s="32">
        <v>0</v>
      </c>
      <c r="R888" s="3">
        <f t="shared" si="242"/>
        <v>0</v>
      </c>
      <c r="S888" s="32">
        <v>0</v>
      </c>
      <c r="T888" s="32">
        <v>0</v>
      </c>
      <c r="U888" s="32">
        <v>0</v>
      </c>
      <c r="V888" s="6">
        <f t="shared" si="239"/>
        <v>6600</v>
      </c>
    </row>
    <row r="889" spans="1:258" s="6" customFormat="1" ht="25.2" customHeight="1" x14ac:dyDescent="0.3">
      <c r="A889" s="46" t="s">
        <v>1975</v>
      </c>
      <c r="B889" s="49" t="s">
        <v>654</v>
      </c>
      <c r="C889" s="2">
        <f t="shared" si="237"/>
        <v>1800480</v>
      </c>
      <c r="D889" s="3">
        <f t="shared" si="238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4">
        <v>0</v>
      </c>
      <c r="L889" s="3">
        <v>0</v>
      </c>
      <c r="M889" s="3">
        <v>272.8</v>
      </c>
      <c r="N889" s="3">
        <f t="shared" si="241"/>
        <v>1800480</v>
      </c>
      <c r="O889" s="32">
        <v>0</v>
      </c>
      <c r="P889" s="32">
        <v>0</v>
      </c>
      <c r="Q889" s="32">
        <v>0</v>
      </c>
      <c r="R889" s="3">
        <f t="shared" si="242"/>
        <v>0</v>
      </c>
      <c r="S889" s="32">
        <v>0</v>
      </c>
      <c r="T889" s="32">
        <v>0</v>
      </c>
      <c r="U889" s="32">
        <v>0</v>
      </c>
      <c r="V889" s="6">
        <f t="shared" si="239"/>
        <v>6600</v>
      </c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7"/>
      <c r="DZ889" s="7"/>
      <c r="EA889" s="7"/>
      <c r="EB889" s="7"/>
      <c r="EC889" s="7"/>
      <c r="ED889" s="7"/>
      <c r="EE889" s="7"/>
      <c r="EF889" s="7"/>
      <c r="EG889" s="7"/>
      <c r="EH889" s="7"/>
      <c r="EI889" s="7"/>
      <c r="EJ889" s="7"/>
      <c r="EK889" s="7"/>
      <c r="EL889" s="7"/>
      <c r="EM889" s="7"/>
      <c r="EN889" s="7"/>
      <c r="EO889" s="7"/>
      <c r="EP889" s="7"/>
      <c r="EQ889" s="7"/>
      <c r="ER889" s="7"/>
      <c r="ES889" s="7"/>
      <c r="ET889" s="7"/>
      <c r="EU889" s="7"/>
      <c r="EV889" s="7"/>
      <c r="EW889" s="7"/>
      <c r="EX889" s="7"/>
      <c r="EY889" s="7"/>
      <c r="EZ889" s="7"/>
      <c r="FA889" s="7"/>
      <c r="FB889" s="7"/>
      <c r="FC889" s="7"/>
      <c r="FD889" s="7"/>
      <c r="FE889" s="7"/>
      <c r="FF889" s="7"/>
      <c r="FG889" s="7"/>
      <c r="FH889" s="7"/>
      <c r="FI889" s="7"/>
      <c r="FJ889" s="7"/>
      <c r="FK889" s="7"/>
      <c r="FL889" s="7"/>
      <c r="FM889" s="7"/>
      <c r="FN889" s="7"/>
      <c r="FO889" s="7"/>
      <c r="FP889" s="7"/>
      <c r="FQ889" s="7"/>
      <c r="FR889" s="7"/>
      <c r="FS889" s="7"/>
      <c r="FT889" s="7"/>
      <c r="FU889" s="7"/>
      <c r="FV889" s="7"/>
      <c r="FW889" s="7"/>
      <c r="FX889" s="7"/>
      <c r="FY889" s="7"/>
      <c r="FZ889" s="7"/>
      <c r="GA889" s="7"/>
      <c r="GB889" s="7"/>
      <c r="GC889" s="7"/>
      <c r="GD889" s="7"/>
      <c r="GE889" s="7"/>
      <c r="GF889" s="7"/>
      <c r="GG889" s="7"/>
      <c r="GH889" s="7"/>
      <c r="GI889" s="7"/>
      <c r="GJ889" s="7"/>
      <c r="GK889" s="7"/>
      <c r="GL889" s="7"/>
      <c r="GM889" s="7"/>
      <c r="GN889" s="7"/>
      <c r="GO889" s="7"/>
      <c r="GP889" s="7"/>
      <c r="GQ889" s="7"/>
      <c r="GR889" s="7"/>
      <c r="GS889" s="7"/>
      <c r="GT889" s="7"/>
      <c r="GU889" s="7"/>
      <c r="GV889" s="7"/>
      <c r="GW889" s="7"/>
      <c r="GX889" s="7"/>
      <c r="GY889" s="7"/>
      <c r="GZ889" s="7"/>
      <c r="HA889" s="7"/>
      <c r="HB889" s="7"/>
      <c r="HC889" s="7"/>
      <c r="HD889" s="7"/>
      <c r="HE889" s="7"/>
      <c r="HF889" s="7"/>
      <c r="HG889" s="7"/>
      <c r="HH889" s="7"/>
      <c r="HI889" s="7"/>
      <c r="HJ889" s="7"/>
      <c r="HK889" s="7"/>
      <c r="HL889" s="7"/>
      <c r="HM889" s="7"/>
      <c r="HN889" s="7"/>
      <c r="HO889" s="7"/>
      <c r="HP889" s="7"/>
      <c r="HQ889" s="7"/>
      <c r="HR889" s="7"/>
      <c r="HS889" s="7"/>
      <c r="HT889" s="7"/>
      <c r="HU889" s="7"/>
      <c r="HV889" s="7"/>
      <c r="HW889" s="7"/>
      <c r="HX889" s="7"/>
      <c r="HY889" s="7"/>
      <c r="HZ889" s="7"/>
      <c r="IA889" s="7"/>
      <c r="IB889" s="7"/>
      <c r="IC889" s="7"/>
      <c r="ID889" s="7"/>
      <c r="IE889" s="7"/>
      <c r="IF889" s="7"/>
      <c r="IG889" s="7"/>
      <c r="IH889" s="7"/>
      <c r="II889" s="7"/>
      <c r="IJ889" s="7"/>
      <c r="IK889" s="7"/>
      <c r="IL889" s="7"/>
      <c r="IM889" s="7"/>
      <c r="IN889" s="7"/>
      <c r="IO889" s="7"/>
      <c r="IP889" s="7"/>
      <c r="IQ889" s="7"/>
      <c r="IR889" s="7"/>
      <c r="IS889" s="7"/>
      <c r="IT889" s="7"/>
      <c r="IU889" s="7"/>
      <c r="IV889" s="7"/>
      <c r="IW889" s="7"/>
      <c r="IX889" s="7"/>
    </row>
    <row r="890" spans="1:258" ht="25.2" customHeight="1" x14ac:dyDescent="0.3">
      <c r="A890" s="46" t="s">
        <v>1685</v>
      </c>
      <c r="B890" s="49" t="s">
        <v>656</v>
      </c>
      <c r="C890" s="2">
        <f t="shared" si="237"/>
        <v>1779360.0000000002</v>
      </c>
      <c r="D890" s="3">
        <f t="shared" si="238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4">
        <v>0</v>
      </c>
      <c r="L890" s="3">
        <v>0</v>
      </c>
      <c r="M890" s="32">
        <v>269.60000000000002</v>
      </c>
      <c r="N890" s="3">
        <f t="shared" si="241"/>
        <v>1779360.0000000002</v>
      </c>
      <c r="O890" s="3">
        <v>0</v>
      </c>
      <c r="P890" s="3">
        <v>0</v>
      </c>
      <c r="Q890" s="3">
        <v>0</v>
      </c>
      <c r="R890" s="3">
        <f t="shared" si="242"/>
        <v>0</v>
      </c>
      <c r="S890" s="3">
        <v>0</v>
      </c>
      <c r="T890" s="32">
        <v>0</v>
      </c>
      <c r="U890" s="3">
        <v>0</v>
      </c>
      <c r="V890" s="6">
        <f t="shared" si="239"/>
        <v>6600</v>
      </c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6"/>
      <c r="DG890" s="6"/>
      <c r="DH890" s="6"/>
      <c r="DI890" s="6"/>
      <c r="DJ890" s="6"/>
      <c r="DK890" s="6"/>
      <c r="DL890" s="6"/>
      <c r="DM890" s="6"/>
      <c r="DN890" s="6"/>
      <c r="DO890" s="6"/>
      <c r="DP890" s="6"/>
      <c r="DQ890" s="6"/>
      <c r="DR890" s="6"/>
      <c r="DS890" s="6"/>
      <c r="DT890" s="6"/>
      <c r="DU890" s="6"/>
      <c r="DV890" s="6"/>
      <c r="DW890" s="6"/>
      <c r="DX890" s="6"/>
      <c r="DY890" s="6"/>
      <c r="DZ890" s="6"/>
      <c r="EA890" s="6"/>
      <c r="EB890" s="6"/>
      <c r="EC890" s="6"/>
      <c r="ED890" s="6"/>
      <c r="EE890" s="6"/>
      <c r="EF890" s="6"/>
      <c r="EG890" s="6"/>
      <c r="EH890" s="6"/>
      <c r="EI890" s="6"/>
      <c r="EJ890" s="6"/>
      <c r="EK890" s="6"/>
      <c r="EL890" s="6"/>
      <c r="EM890" s="6"/>
      <c r="EN890" s="6"/>
      <c r="EO890" s="6"/>
      <c r="EP890" s="6"/>
      <c r="EQ890" s="6"/>
      <c r="ER890" s="6"/>
      <c r="ES890" s="6"/>
      <c r="ET890" s="6"/>
      <c r="EU890" s="6"/>
      <c r="EV890" s="6"/>
      <c r="EW890" s="6"/>
      <c r="EX890" s="6"/>
      <c r="EY890" s="6"/>
      <c r="EZ890" s="6"/>
      <c r="FA890" s="6"/>
      <c r="FB890" s="6"/>
      <c r="FC890" s="6"/>
      <c r="FD890" s="6"/>
      <c r="FE890" s="6"/>
      <c r="FF890" s="6"/>
      <c r="FG890" s="6"/>
      <c r="FH890" s="6"/>
      <c r="FI890" s="6"/>
      <c r="FJ890" s="6"/>
      <c r="FK890" s="6"/>
      <c r="FL890" s="6"/>
      <c r="FM890" s="6"/>
      <c r="FN890" s="6"/>
      <c r="FO890" s="6"/>
      <c r="FP890" s="6"/>
      <c r="FQ890" s="6"/>
      <c r="FR890" s="6"/>
      <c r="FS890" s="6"/>
      <c r="FT890" s="6"/>
      <c r="FU890" s="6"/>
      <c r="FV890" s="6"/>
      <c r="FW890" s="6"/>
      <c r="FX890" s="6"/>
      <c r="FY890" s="6"/>
      <c r="FZ890" s="6"/>
      <c r="GA890" s="6"/>
      <c r="GB890" s="6"/>
      <c r="GC890" s="6"/>
      <c r="GD890" s="6"/>
      <c r="GE890" s="6"/>
      <c r="GF890" s="6"/>
      <c r="GG890" s="6"/>
      <c r="GH890" s="6"/>
      <c r="GI890" s="6"/>
      <c r="GJ890" s="6"/>
      <c r="GK890" s="6"/>
      <c r="GL890" s="6"/>
      <c r="GM890" s="6"/>
      <c r="GN890" s="6"/>
      <c r="GO890" s="6"/>
      <c r="GP890" s="6"/>
      <c r="GQ890" s="6"/>
      <c r="GR890" s="6"/>
      <c r="GS890" s="6"/>
      <c r="GT890" s="6"/>
      <c r="GU890" s="6"/>
      <c r="GV890" s="6"/>
      <c r="GW890" s="6"/>
      <c r="GX890" s="6"/>
      <c r="GY890" s="6"/>
      <c r="GZ890" s="6"/>
      <c r="HA890" s="6"/>
      <c r="HB890" s="6"/>
      <c r="HC890" s="6"/>
      <c r="HD890" s="6"/>
      <c r="HE890" s="6"/>
      <c r="HF890" s="6"/>
      <c r="HG890" s="6"/>
      <c r="HH890" s="6"/>
      <c r="HI890" s="6"/>
      <c r="HJ890" s="6"/>
      <c r="HK890" s="6"/>
      <c r="HL890" s="6"/>
      <c r="HM890" s="6"/>
      <c r="HN890" s="6"/>
      <c r="HO890" s="6"/>
      <c r="HP890" s="6"/>
      <c r="HQ890" s="6"/>
      <c r="HR890" s="6"/>
      <c r="HS890" s="6"/>
      <c r="HT890" s="6"/>
      <c r="HU890" s="6"/>
      <c r="HV890" s="6"/>
      <c r="HW890" s="6"/>
      <c r="HX890" s="6"/>
      <c r="HY890" s="6"/>
      <c r="HZ890" s="6"/>
      <c r="IA890" s="6"/>
      <c r="IB890" s="6"/>
      <c r="IC890" s="6"/>
      <c r="ID890" s="6"/>
      <c r="IE890" s="6"/>
      <c r="IF890" s="6"/>
      <c r="IG890" s="6"/>
      <c r="IH890" s="6"/>
      <c r="II890" s="6"/>
      <c r="IJ890" s="6"/>
      <c r="IK890" s="6"/>
      <c r="IL890" s="6"/>
      <c r="IM890" s="6"/>
      <c r="IN890" s="6"/>
      <c r="IO890" s="6"/>
      <c r="IP890" s="6"/>
      <c r="IQ890" s="6"/>
      <c r="IR890" s="6"/>
      <c r="IS890" s="6"/>
      <c r="IT890" s="6"/>
      <c r="IU890" s="6"/>
      <c r="IV890" s="6"/>
      <c r="IW890" s="6"/>
      <c r="IX890" s="6"/>
    </row>
    <row r="891" spans="1:258" ht="25.2" customHeight="1" x14ac:dyDescent="0.3">
      <c r="A891" s="46" t="s">
        <v>1686</v>
      </c>
      <c r="B891" s="49" t="s">
        <v>744</v>
      </c>
      <c r="C891" s="2">
        <f t="shared" si="237"/>
        <v>1861200</v>
      </c>
      <c r="D891" s="3">
        <f t="shared" si="238"/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4">
        <v>0</v>
      </c>
      <c r="L891" s="3">
        <v>0</v>
      </c>
      <c r="M891" s="32">
        <v>282</v>
      </c>
      <c r="N891" s="3">
        <f t="shared" si="241"/>
        <v>1861200</v>
      </c>
      <c r="O891" s="3">
        <v>0</v>
      </c>
      <c r="P891" s="3">
        <v>0</v>
      </c>
      <c r="Q891" s="3">
        <v>0</v>
      </c>
      <c r="R891" s="3">
        <f t="shared" si="242"/>
        <v>0</v>
      </c>
      <c r="S891" s="3">
        <v>0</v>
      </c>
      <c r="T891" s="32">
        <v>0</v>
      </c>
      <c r="U891" s="3">
        <v>0</v>
      </c>
      <c r="V891" s="6">
        <f t="shared" si="239"/>
        <v>6600</v>
      </c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  <c r="BC891" s="58"/>
      <c r="BD891" s="58"/>
      <c r="BE891" s="58"/>
      <c r="BF891" s="58"/>
      <c r="BG891" s="58"/>
      <c r="BH891" s="58"/>
      <c r="BI891" s="58"/>
      <c r="BJ891" s="58"/>
      <c r="BK891" s="58"/>
      <c r="BL891" s="58"/>
      <c r="BM891" s="58"/>
      <c r="BN891" s="58"/>
      <c r="BO891" s="58"/>
      <c r="BP891" s="58"/>
      <c r="BQ891" s="58"/>
      <c r="BR891" s="58"/>
      <c r="BS891" s="58"/>
      <c r="BT891" s="58"/>
      <c r="BU891" s="58"/>
      <c r="BV891" s="58"/>
      <c r="BW891" s="58"/>
      <c r="BX891" s="58"/>
      <c r="BY891" s="58"/>
      <c r="BZ891" s="58"/>
      <c r="CA891" s="58"/>
      <c r="CB891" s="58"/>
      <c r="CC891" s="58"/>
      <c r="CD891" s="58"/>
      <c r="CE891" s="58"/>
      <c r="CF891" s="58"/>
      <c r="CG891" s="58"/>
      <c r="CH891" s="58"/>
      <c r="CI891" s="58"/>
      <c r="CJ891" s="58"/>
      <c r="CK891" s="58"/>
      <c r="CL891" s="58"/>
      <c r="CM891" s="58"/>
      <c r="CN891" s="58"/>
      <c r="CO891" s="58"/>
      <c r="CP891" s="58"/>
      <c r="CQ891" s="58"/>
      <c r="CR891" s="58"/>
      <c r="CS891" s="58"/>
      <c r="CT891" s="58"/>
      <c r="CU891" s="58"/>
      <c r="CV891" s="58"/>
      <c r="CW891" s="58"/>
      <c r="CX891" s="58"/>
      <c r="CY891" s="58"/>
      <c r="CZ891" s="58"/>
      <c r="DA891" s="58"/>
      <c r="DB891" s="58"/>
      <c r="DC891" s="58"/>
      <c r="DD891" s="58"/>
      <c r="DE891" s="58"/>
      <c r="DF891" s="58"/>
      <c r="DG891" s="58"/>
      <c r="DH891" s="58"/>
      <c r="DI891" s="58"/>
      <c r="DJ891" s="58"/>
      <c r="DK891" s="58"/>
      <c r="DL891" s="58"/>
      <c r="DM891" s="58"/>
      <c r="DN891" s="58"/>
      <c r="DO891" s="58"/>
      <c r="DP891" s="58"/>
      <c r="DQ891" s="58"/>
      <c r="DR891" s="58"/>
      <c r="DS891" s="58"/>
      <c r="DT891" s="58"/>
      <c r="DU891" s="58"/>
      <c r="DV891" s="58"/>
      <c r="DW891" s="58"/>
      <c r="DX891" s="58"/>
      <c r="DY891" s="58"/>
      <c r="DZ891" s="58"/>
      <c r="EA891" s="58"/>
      <c r="EB891" s="58"/>
      <c r="EC891" s="58"/>
      <c r="ED891" s="58"/>
      <c r="EE891" s="58"/>
      <c r="EF891" s="58"/>
      <c r="EG891" s="58"/>
      <c r="EH891" s="58"/>
      <c r="EI891" s="58"/>
      <c r="EJ891" s="58"/>
      <c r="EK891" s="58"/>
      <c r="EL891" s="58"/>
      <c r="EM891" s="58"/>
      <c r="EN891" s="58"/>
      <c r="EO891" s="58"/>
      <c r="EP891" s="58"/>
      <c r="EQ891" s="58"/>
      <c r="ER891" s="58"/>
      <c r="ES891" s="58"/>
      <c r="ET891" s="58"/>
      <c r="EU891" s="58"/>
      <c r="EV891" s="58"/>
      <c r="EW891" s="58"/>
      <c r="EX891" s="58"/>
      <c r="EY891" s="58"/>
      <c r="EZ891" s="58"/>
      <c r="FA891" s="58"/>
      <c r="FB891" s="58"/>
      <c r="FC891" s="58"/>
      <c r="FD891" s="58"/>
      <c r="FE891" s="58"/>
      <c r="FF891" s="58"/>
      <c r="FG891" s="58"/>
      <c r="FH891" s="58"/>
      <c r="FI891" s="58"/>
      <c r="FJ891" s="58"/>
      <c r="FK891" s="58"/>
      <c r="FL891" s="58"/>
      <c r="FM891" s="58"/>
      <c r="FN891" s="58"/>
      <c r="FO891" s="58"/>
      <c r="FP891" s="58"/>
      <c r="FQ891" s="58"/>
      <c r="FR891" s="58"/>
      <c r="FS891" s="58"/>
      <c r="FT891" s="58"/>
      <c r="FU891" s="58"/>
      <c r="FV891" s="58"/>
      <c r="FW891" s="58"/>
      <c r="FX891" s="58"/>
      <c r="FY891" s="58"/>
      <c r="FZ891" s="58"/>
      <c r="GA891" s="58"/>
      <c r="GB891" s="58"/>
      <c r="GC891" s="58"/>
      <c r="GD891" s="58"/>
      <c r="GE891" s="58"/>
      <c r="GF891" s="58"/>
      <c r="GG891" s="58"/>
      <c r="GH891" s="58"/>
      <c r="GI891" s="58"/>
      <c r="GJ891" s="58"/>
      <c r="GK891" s="58"/>
      <c r="GL891" s="58"/>
      <c r="GM891" s="58"/>
      <c r="GN891" s="58"/>
      <c r="GO891" s="58"/>
      <c r="GP891" s="58"/>
      <c r="GQ891" s="58"/>
      <c r="GR891" s="58"/>
      <c r="GS891" s="58"/>
      <c r="GT891" s="58"/>
      <c r="GU891" s="58"/>
      <c r="GV891" s="58"/>
      <c r="GW891" s="58"/>
      <c r="GX891" s="58"/>
      <c r="GY891" s="58"/>
      <c r="GZ891" s="58"/>
      <c r="HA891" s="58"/>
      <c r="HB891" s="58"/>
      <c r="HC891" s="58"/>
      <c r="HD891" s="58"/>
      <c r="HE891" s="58"/>
      <c r="HF891" s="58"/>
      <c r="HG891" s="58"/>
      <c r="HH891" s="58"/>
      <c r="HI891" s="58"/>
      <c r="HJ891" s="58"/>
      <c r="HK891" s="58"/>
      <c r="HL891" s="58"/>
      <c r="HM891" s="58"/>
      <c r="HN891" s="58"/>
      <c r="HO891" s="58"/>
      <c r="HP891" s="58"/>
      <c r="HQ891" s="58"/>
      <c r="HR891" s="58"/>
      <c r="HS891" s="58"/>
      <c r="HT891" s="58"/>
      <c r="HU891" s="58"/>
      <c r="HV891" s="58"/>
      <c r="HW891" s="58"/>
      <c r="HX891" s="58"/>
      <c r="HY891" s="58"/>
      <c r="HZ891" s="58"/>
      <c r="IA891" s="58"/>
      <c r="IB891" s="58"/>
      <c r="IC891" s="58"/>
      <c r="ID891" s="58"/>
      <c r="IE891" s="58"/>
      <c r="IF891" s="58"/>
      <c r="IG891" s="58"/>
      <c r="IH891" s="58"/>
      <c r="II891" s="58"/>
      <c r="IJ891" s="58"/>
      <c r="IK891" s="58"/>
      <c r="IL891" s="58"/>
      <c r="IM891" s="58"/>
      <c r="IN891" s="58"/>
      <c r="IO891" s="58"/>
      <c r="IP891" s="58"/>
      <c r="IQ891" s="58"/>
      <c r="IR891" s="58"/>
      <c r="IS891" s="58"/>
      <c r="IT891" s="58"/>
      <c r="IU891" s="58"/>
      <c r="IV891" s="58"/>
      <c r="IW891" s="58"/>
      <c r="IX891" s="58"/>
    </row>
    <row r="892" spans="1:258" ht="25.2" customHeight="1" x14ac:dyDescent="0.3">
      <c r="A892" s="46" t="s">
        <v>1687</v>
      </c>
      <c r="B892" s="54" t="s">
        <v>566</v>
      </c>
      <c r="C892" s="2">
        <f t="shared" si="237"/>
        <v>2336500</v>
      </c>
      <c r="D892" s="3">
        <f t="shared" si="238"/>
        <v>2236500</v>
      </c>
      <c r="E892" s="3">
        <f>700*745.5</f>
        <v>521850</v>
      </c>
      <c r="F892" s="3">
        <f>1300*745.5</f>
        <v>969150</v>
      </c>
      <c r="G892" s="3">
        <f>300*745.5</f>
        <v>223650</v>
      </c>
      <c r="H892" s="3">
        <f>400*745.5</f>
        <v>298200</v>
      </c>
      <c r="I892" s="3">
        <f>300*745.5</f>
        <v>223650</v>
      </c>
      <c r="J892" s="3">
        <f>350*0</f>
        <v>0</v>
      </c>
      <c r="K892" s="33">
        <v>0</v>
      </c>
      <c r="L892" s="32">
        <v>0</v>
      </c>
      <c r="M892" s="32">
        <v>0</v>
      </c>
      <c r="N892" s="32">
        <v>0</v>
      </c>
      <c r="O892" s="32">
        <v>0</v>
      </c>
      <c r="P892" s="32">
        <v>0</v>
      </c>
      <c r="Q892" s="32">
        <v>0</v>
      </c>
      <c r="R892" s="3">
        <f t="shared" si="242"/>
        <v>0</v>
      </c>
      <c r="S892" s="32">
        <v>0</v>
      </c>
      <c r="T892" s="32">
        <v>0</v>
      </c>
      <c r="U892" s="32">
        <v>100000</v>
      </c>
      <c r="V892" s="6" t="e">
        <f t="shared" si="239"/>
        <v>#DIV/0!</v>
      </c>
      <c r="W892" s="7" t="s">
        <v>990</v>
      </c>
    </row>
    <row r="893" spans="1:258" ht="25.2" customHeight="1" x14ac:dyDescent="0.3">
      <c r="A893" s="46" t="s">
        <v>1688</v>
      </c>
      <c r="B893" s="54" t="s">
        <v>564</v>
      </c>
      <c r="C893" s="2">
        <f t="shared" si="237"/>
        <v>6090830.7400000002</v>
      </c>
      <c r="D893" s="3">
        <f t="shared" si="238"/>
        <v>5865300</v>
      </c>
      <c r="E893" s="3">
        <v>0</v>
      </c>
      <c r="F893" s="3">
        <f>1300*3087</f>
        <v>4013100</v>
      </c>
      <c r="G893" s="3">
        <f>300*3087</f>
        <v>926100</v>
      </c>
      <c r="H893" s="3">
        <v>0</v>
      </c>
      <c r="I893" s="3">
        <f>300*3087</f>
        <v>926100</v>
      </c>
      <c r="J893" s="3">
        <f>350*0</f>
        <v>0</v>
      </c>
      <c r="K893" s="33">
        <v>0</v>
      </c>
      <c r="L893" s="32">
        <v>0</v>
      </c>
      <c r="M893" s="32">
        <v>0</v>
      </c>
      <c r="N893" s="32">
        <v>0</v>
      </c>
      <c r="O893" s="32">
        <v>0</v>
      </c>
      <c r="P893" s="32">
        <v>0</v>
      </c>
      <c r="Q893" s="32">
        <v>0</v>
      </c>
      <c r="R893" s="3">
        <f>Q893*3000</f>
        <v>0</v>
      </c>
      <c r="S893" s="32">
        <v>0</v>
      </c>
      <c r="T893" s="32">
        <v>0</v>
      </c>
      <c r="U893" s="32">
        <v>225530.74</v>
      </c>
      <c r="V893" s="6" t="e">
        <f t="shared" si="239"/>
        <v>#DIV/0!</v>
      </c>
    </row>
    <row r="894" spans="1:258" ht="25.2" customHeight="1" x14ac:dyDescent="0.3">
      <c r="A894" s="46" t="s">
        <v>1689</v>
      </c>
      <c r="B894" s="49" t="s">
        <v>565</v>
      </c>
      <c r="C894" s="2">
        <f t="shared" si="237"/>
        <v>169590.76</v>
      </c>
      <c r="D894" s="3">
        <f t="shared" si="238"/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f>350*0</f>
        <v>0</v>
      </c>
      <c r="K894" s="33">
        <v>0</v>
      </c>
      <c r="L894" s="32">
        <v>0</v>
      </c>
      <c r="M894" s="32">
        <v>0</v>
      </c>
      <c r="N894" s="32">
        <v>0</v>
      </c>
      <c r="O894" s="32">
        <v>0</v>
      </c>
      <c r="P894" s="32">
        <v>0</v>
      </c>
      <c r="Q894" s="32">
        <v>0</v>
      </c>
      <c r="R894" s="3">
        <f>Q894*3000</f>
        <v>0</v>
      </c>
      <c r="S894" s="32">
        <v>0</v>
      </c>
      <c r="T894" s="32">
        <v>0</v>
      </c>
      <c r="U894" s="32">
        <v>169590.76</v>
      </c>
      <c r="V894" s="6" t="e">
        <f t="shared" si="239"/>
        <v>#DIV/0!</v>
      </c>
    </row>
    <row r="895" spans="1:258" ht="25.2" customHeight="1" x14ac:dyDescent="0.3">
      <c r="A895" s="46" t="s">
        <v>1690</v>
      </c>
      <c r="B895" s="49" t="s">
        <v>369</v>
      </c>
      <c r="C895" s="2">
        <f t="shared" si="237"/>
        <v>11106787.140000001</v>
      </c>
      <c r="D895" s="3">
        <f t="shared" si="238"/>
        <v>10258306.5</v>
      </c>
      <c r="E895" s="3">
        <f>350*5260.67</f>
        <v>1841234.5</v>
      </c>
      <c r="F895" s="3">
        <f>1050*5260.67</f>
        <v>5523703.5</v>
      </c>
      <c r="G895" s="3">
        <f>300*5260.67</f>
        <v>1578201</v>
      </c>
      <c r="H895" s="3">
        <v>0</v>
      </c>
      <c r="I895" s="3">
        <f>250*5260.67</f>
        <v>1315167.5</v>
      </c>
      <c r="J895" s="3">
        <f>350*0</f>
        <v>0</v>
      </c>
      <c r="K895" s="4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848480.64</v>
      </c>
      <c r="V895" s="6" t="e">
        <f t="shared" si="239"/>
        <v>#DIV/0!</v>
      </c>
    </row>
    <row r="896" spans="1:258" ht="25.2" customHeight="1" x14ac:dyDescent="0.3">
      <c r="A896" s="46" t="s">
        <v>1976</v>
      </c>
      <c r="B896" s="49" t="s">
        <v>657</v>
      </c>
      <c r="C896" s="2">
        <f t="shared" si="237"/>
        <v>8651449.9700000007</v>
      </c>
      <c r="D896" s="3">
        <f t="shared" si="238"/>
        <v>2047200</v>
      </c>
      <c r="E896" s="3">
        <f>700*682.4</f>
        <v>477680</v>
      </c>
      <c r="F896" s="3">
        <f>1300*682.4</f>
        <v>887120</v>
      </c>
      <c r="G896" s="3">
        <f>300*682.4</f>
        <v>204720</v>
      </c>
      <c r="H896" s="3">
        <f>400*682.4</f>
        <v>272960</v>
      </c>
      <c r="I896" s="3">
        <f>300*682.4</f>
        <v>204720</v>
      </c>
      <c r="J896" s="3">
        <v>0</v>
      </c>
      <c r="K896" s="4">
        <v>0</v>
      </c>
      <c r="L896" s="3">
        <v>0</v>
      </c>
      <c r="M896" s="3">
        <v>540.70000000000005</v>
      </c>
      <c r="N896" s="3">
        <f t="shared" ref="N896:N920" si="243">M896*6600</f>
        <v>3568620.0000000005</v>
      </c>
      <c r="O896" s="3">
        <v>0</v>
      </c>
      <c r="P896" s="3">
        <v>0</v>
      </c>
      <c r="Q896" s="3">
        <v>910.8</v>
      </c>
      <c r="R896" s="3">
        <f t="shared" ref="R896:R907" si="244">Q896*3200</f>
        <v>2914560</v>
      </c>
      <c r="S896" s="3">
        <v>0</v>
      </c>
      <c r="T896" s="32">
        <v>0</v>
      </c>
      <c r="U896" s="3">
        <v>121069.97</v>
      </c>
      <c r="V896" s="6">
        <f t="shared" si="239"/>
        <v>6600</v>
      </c>
    </row>
    <row r="897" spans="1:258" ht="25.2" customHeight="1" x14ac:dyDescent="0.3">
      <c r="A897" s="46" t="s">
        <v>1691</v>
      </c>
      <c r="B897" s="49" t="s">
        <v>658</v>
      </c>
      <c r="C897" s="2">
        <f t="shared" si="237"/>
        <v>300000</v>
      </c>
      <c r="D897" s="3">
        <f t="shared" si="238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4">
        <v>0</v>
      </c>
      <c r="L897" s="3">
        <v>0</v>
      </c>
      <c r="M897" s="32">
        <v>0</v>
      </c>
      <c r="N897" s="3">
        <f t="shared" si="243"/>
        <v>0</v>
      </c>
      <c r="O897" s="3">
        <v>0</v>
      </c>
      <c r="P897" s="3">
        <v>0</v>
      </c>
      <c r="Q897" s="3">
        <v>0</v>
      </c>
      <c r="R897" s="3">
        <f t="shared" si="244"/>
        <v>0</v>
      </c>
      <c r="S897" s="3">
        <v>0</v>
      </c>
      <c r="T897" s="32">
        <v>0</v>
      </c>
      <c r="U897" s="3">
        <v>300000</v>
      </c>
      <c r="V897" s="6" t="e">
        <f t="shared" si="239"/>
        <v>#DIV/0!</v>
      </c>
    </row>
    <row r="898" spans="1:258" ht="25.2" customHeight="1" x14ac:dyDescent="0.3">
      <c r="A898" s="46" t="s">
        <v>1692</v>
      </c>
      <c r="B898" s="54" t="s">
        <v>489</v>
      </c>
      <c r="C898" s="2">
        <f t="shared" si="237"/>
        <v>3332340</v>
      </c>
      <c r="D898" s="3">
        <f t="shared" si="238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3">
        <v>0</v>
      </c>
      <c r="L898" s="32">
        <v>0</v>
      </c>
      <c r="M898" s="32">
        <v>504.9</v>
      </c>
      <c r="N898" s="3">
        <f t="shared" si="243"/>
        <v>3332340</v>
      </c>
      <c r="O898" s="32">
        <v>0</v>
      </c>
      <c r="P898" s="32">
        <v>0</v>
      </c>
      <c r="Q898" s="32">
        <v>0</v>
      </c>
      <c r="R898" s="3">
        <f t="shared" si="244"/>
        <v>0</v>
      </c>
      <c r="S898" s="32">
        <v>0</v>
      </c>
      <c r="T898" s="32">
        <v>0</v>
      </c>
      <c r="U898" s="32">
        <v>0</v>
      </c>
      <c r="V898" s="6">
        <f t="shared" si="239"/>
        <v>6600</v>
      </c>
    </row>
    <row r="899" spans="1:258" ht="25.2" customHeight="1" x14ac:dyDescent="0.3">
      <c r="A899" s="46" t="s">
        <v>1693</v>
      </c>
      <c r="B899" s="54" t="s">
        <v>659</v>
      </c>
      <c r="C899" s="2">
        <f t="shared" si="237"/>
        <v>1893539.9999999998</v>
      </c>
      <c r="D899" s="3">
        <f t="shared" si="238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3">
        <v>286.89999999999998</v>
      </c>
      <c r="N899" s="3">
        <f t="shared" si="243"/>
        <v>1893539.9999999998</v>
      </c>
      <c r="O899" s="3">
        <v>0</v>
      </c>
      <c r="P899" s="3">
        <v>0</v>
      </c>
      <c r="Q899" s="3">
        <v>0</v>
      </c>
      <c r="R899" s="3">
        <f t="shared" si="244"/>
        <v>0</v>
      </c>
      <c r="S899" s="3">
        <v>0</v>
      </c>
      <c r="T899" s="32">
        <v>0</v>
      </c>
      <c r="U899" s="3">
        <v>0</v>
      </c>
      <c r="V899" s="6">
        <f t="shared" si="239"/>
        <v>6600</v>
      </c>
    </row>
    <row r="900" spans="1:258" ht="25.2" customHeight="1" x14ac:dyDescent="0.3">
      <c r="A900" s="46" t="s">
        <v>1694</v>
      </c>
      <c r="B900" s="49" t="s">
        <v>660</v>
      </c>
      <c r="C900" s="2">
        <f t="shared" si="237"/>
        <v>3684779.9999999995</v>
      </c>
      <c r="D900" s="3">
        <f t="shared" si="238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4">
        <v>0</v>
      </c>
      <c r="L900" s="3">
        <v>0</v>
      </c>
      <c r="M900" s="32">
        <v>558.29999999999995</v>
      </c>
      <c r="N900" s="3">
        <f t="shared" si="243"/>
        <v>3684779.9999999995</v>
      </c>
      <c r="O900" s="3">
        <v>0</v>
      </c>
      <c r="P900" s="3">
        <v>0</v>
      </c>
      <c r="Q900" s="3">
        <v>0</v>
      </c>
      <c r="R900" s="3">
        <f t="shared" si="244"/>
        <v>0</v>
      </c>
      <c r="S900" s="3">
        <v>0</v>
      </c>
      <c r="T900" s="32">
        <v>0</v>
      </c>
      <c r="U900" s="3">
        <v>0</v>
      </c>
      <c r="V900" s="6">
        <f t="shared" si="239"/>
        <v>6600</v>
      </c>
    </row>
    <row r="901" spans="1:258" ht="25.2" customHeight="1" x14ac:dyDescent="0.3">
      <c r="A901" s="46" t="s">
        <v>1695</v>
      </c>
      <c r="B901" s="49" t="s">
        <v>661</v>
      </c>
      <c r="C901" s="2">
        <f t="shared" si="237"/>
        <v>1953600</v>
      </c>
      <c r="D901" s="3">
        <f t="shared" si="238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33">
        <v>0</v>
      </c>
      <c r="L901" s="3">
        <v>0</v>
      </c>
      <c r="M901" s="3">
        <v>296</v>
      </c>
      <c r="N901" s="3">
        <f t="shared" si="243"/>
        <v>1953600</v>
      </c>
      <c r="O901" s="3">
        <v>0</v>
      </c>
      <c r="P901" s="3">
        <v>0</v>
      </c>
      <c r="Q901" s="3">
        <v>0</v>
      </c>
      <c r="R901" s="3">
        <f t="shared" si="244"/>
        <v>0</v>
      </c>
      <c r="S901" s="3">
        <v>0</v>
      </c>
      <c r="T901" s="32">
        <v>0</v>
      </c>
      <c r="U901" s="3">
        <v>0</v>
      </c>
      <c r="V901" s="6">
        <f t="shared" si="239"/>
        <v>6600</v>
      </c>
    </row>
    <row r="902" spans="1:258" s="59" customFormat="1" ht="25.2" customHeight="1" x14ac:dyDescent="0.3">
      <c r="A902" s="46" t="s">
        <v>1696</v>
      </c>
      <c r="B902" s="49" t="s">
        <v>662</v>
      </c>
      <c r="C902" s="2">
        <f t="shared" si="237"/>
        <v>2349600</v>
      </c>
      <c r="D902" s="3">
        <f t="shared" si="238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3">
        <v>0</v>
      </c>
      <c r="L902" s="3">
        <v>0</v>
      </c>
      <c r="M902" s="3">
        <v>356</v>
      </c>
      <c r="N902" s="3">
        <f t="shared" si="243"/>
        <v>2349600</v>
      </c>
      <c r="O902" s="3">
        <v>0</v>
      </c>
      <c r="P902" s="3">
        <v>0</v>
      </c>
      <c r="Q902" s="3">
        <v>0</v>
      </c>
      <c r="R902" s="3">
        <f t="shared" si="244"/>
        <v>0</v>
      </c>
      <c r="S902" s="3">
        <v>0</v>
      </c>
      <c r="T902" s="32">
        <v>0</v>
      </c>
      <c r="U902" s="3">
        <v>0</v>
      </c>
      <c r="V902" s="6">
        <f t="shared" si="239"/>
        <v>6600</v>
      </c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7"/>
      <c r="DZ902" s="7"/>
      <c r="EA902" s="7"/>
      <c r="EB902" s="7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  <c r="GI902" s="7"/>
      <c r="GJ902" s="7"/>
      <c r="GK902" s="7"/>
      <c r="GL902" s="7"/>
      <c r="GM902" s="7"/>
      <c r="GN902" s="7"/>
      <c r="GO902" s="7"/>
      <c r="GP902" s="7"/>
      <c r="GQ902" s="7"/>
      <c r="GR902" s="7"/>
      <c r="GS902" s="7"/>
      <c r="GT902" s="7"/>
      <c r="GU902" s="7"/>
      <c r="GV902" s="7"/>
      <c r="GW902" s="7"/>
      <c r="GX902" s="7"/>
      <c r="GY902" s="7"/>
      <c r="GZ902" s="7"/>
      <c r="HA902" s="7"/>
      <c r="HB902" s="7"/>
      <c r="HC902" s="7"/>
      <c r="HD902" s="7"/>
      <c r="HE902" s="7"/>
      <c r="HF902" s="7"/>
      <c r="HG902" s="7"/>
      <c r="HH902" s="7"/>
      <c r="HI902" s="7"/>
      <c r="HJ902" s="7"/>
      <c r="HK902" s="7"/>
      <c r="HL902" s="7"/>
      <c r="HM902" s="7"/>
      <c r="HN902" s="7"/>
      <c r="HO902" s="7"/>
      <c r="HP902" s="7"/>
      <c r="HQ902" s="7"/>
      <c r="HR902" s="7"/>
      <c r="HS902" s="7"/>
      <c r="HT902" s="7"/>
      <c r="HU902" s="7"/>
      <c r="HV902" s="7"/>
      <c r="HW902" s="7"/>
      <c r="HX902" s="7"/>
      <c r="HY902" s="7"/>
      <c r="HZ902" s="7"/>
      <c r="IA902" s="7"/>
      <c r="IB902" s="7"/>
      <c r="IC902" s="7"/>
      <c r="ID902" s="7"/>
      <c r="IE902" s="7"/>
      <c r="IF902" s="7"/>
      <c r="IG902" s="7"/>
      <c r="IH902" s="7"/>
      <c r="II902" s="7"/>
      <c r="IJ902" s="7"/>
      <c r="IK902" s="7"/>
      <c r="IL902" s="7"/>
      <c r="IM902" s="7"/>
      <c r="IN902" s="7"/>
      <c r="IO902" s="7"/>
      <c r="IP902" s="7"/>
      <c r="IQ902" s="7"/>
      <c r="IR902" s="7"/>
      <c r="IS902" s="7"/>
      <c r="IT902" s="7"/>
      <c r="IU902" s="7"/>
      <c r="IV902" s="7"/>
      <c r="IW902" s="7"/>
      <c r="IX902" s="7"/>
    </row>
    <row r="903" spans="1:258" ht="25.2" customHeight="1" x14ac:dyDescent="0.3">
      <c r="A903" s="46" t="s">
        <v>1697</v>
      </c>
      <c r="B903" s="49" t="s">
        <v>745</v>
      </c>
      <c r="C903" s="2">
        <f t="shared" si="237"/>
        <v>2204400</v>
      </c>
      <c r="D903" s="3">
        <f t="shared" si="238"/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3">
        <v>0</v>
      </c>
      <c r="L903" s="3">
        <v>0</v>
      </c>
      <c r="M903" s="3">
        <v>334</v>
      </c>
      <c r="N903" s="3">
        <f t="shared" si="243"/>
        <v>2204400</v>
      </c>
      <c r="O903" s="3">
        <v>0</v>
      </c>
      <c r="P903" s="3">
        <v>0</v>
      </c>
      <c r="Q903" s="3">
        <v>0</v>
      </c>
      <c r="R903" s="3">
        <f t="shared" si="244"/>
        <v>0</v>
      </c>
      <c r="S903" s="3">
        <v>0</v>
      </c>
      <c r="T903" s="32">
        <v>0</v>
      </c>
      <c r="U903" s="3">
        <v>0</v>
      </c>
      <c r="V903" s="6">
        <f t="shared" si="239"/>
        <v>6600</v>
      </c>
    </row>
    <row r="904" spans="1:258" ht="25.2" customHeight="1" x14ac:dyDescent="0.3">
      <c r="A904" s="46" t="s">
        <v>1698</v>
      </c>
      <c r="B904" s="49" t="s">
        <v>567</v>
      </c>
      <c r="C904" s="2">
        <f t="shared" si="237"/>
        <v>3379200</v>
      </c>
      <c r="D904" s="3">
        <f t="shared" si="238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3">
        <v>0</v>
      </c>
      <c r="L904" s="32">
        <v>0</v>
      </c>
      <c r="M904" s="32">
        <v>512</v>
      </c>
      <c r="N904" s="3">
        <f t="shared" si="243"/>
        <v>3379200</v>
      </c>
      <c r="O904" s="32">
        <v>0</v>
      </c>
      <c r="P904" s="32">
        <v>0</v>
      </c>
      <c r="Q904" s="32">
        <v>0</v>
      </c>
      <c r="R904" s="3">
        <f t="shared" si="244"/>
        <v>0</v>
      </c>
      <c r="S904" s="32">
        <v>0</v>
      </c>
      <c r="T904" s="32">
        <v>0</v>
      </c>
      <c r="U904" s="32">
        <v>0</v>
      </c>
      <c r="V904" s="6">
        <f t="shared" si="239"/>
        <v>6600</v>
      </c>
    </row>
    <row r="905" spans="1:258" ht="25.2" customHeight="1" x14ac:dyDescent="0.3">
      <c r="A905" s="46" t="s">
        <v>1699</v>
      </c>
      <c r="B905" s="49" t="s">
        <v>490</v>
      </c>
      <c r="C905" s="2">
        <f t="shared" si="237"/>
        <v>1782000</v>
      </c>
      <c r="D905" s="3">
        <f t="shared" si="238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3">
        <v>0</v>
      </c>
      <c r="L905" s="32">
        <v>0</v>
      </c>
      <c r="M905" s="32">
        <v>270</v>
      </c>
      <c r="N905" s="3">
        <f t="shared" si="243"/>
        <v>1782000</v>
      </c>
      <c r="O905" s="32">
        <v>0</v>
      </c>
      <c r="P905" s="32">
        <v>0</v>
      </c>
      <c r="Q905" s="32">
        <v>0</v>
      </c>
      <c r="R905" s="3">
        <f t="shared" si="244"/>
        <v>0</v>
      </c>
      <c r="S905" s="32">
        <v>0</v>
      </c>
      <c r="T905" s="32">
        <v>0</v>
      </c>
      <c r="U905" s="32">
        <v>0</v>
      </c>
      <c r="V905" s="6">
        <f t="shared" si="239"/>
        <v>6600</v>
      </c>
    </row>
    <row r="906" spans="1:258" s="58" customFormat="1" ht="24.6" customHeight="1" x14ac:dyDescent="0.3">
      <c r="A906" s="46" t="s">
        <v>1700</v>
      </c>
      <c r="B906" s="54" t="s">
        <v>746</v>
      </c>
      <c r="C906" s="2">
        <f t="shared" si="237"/>
        <v>8214359.9999999991</v>
      </c>
      <c r="D906" s="3">
        <f t="shared" si="238"/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3">
        <v>0</v>
      </c>
      <c r="L906" s="3">
        <v>0</v>
      </c>
      <c r="M906" s="3">
        <v>1244.5999999999999</v>
      </c>
      <c r="N906" s="3">
        <f t="shared" si="243"/>
        <v>8214359.9999999991</v>
      </c>
      <c r="O906" s="3">
        <v>0</v>
      </c>
      <c r="P906" s="3">
        <v>0</v>
      </c>
      <c r="Q906" s="3">
        <v>0</v>
      </c>
      <c r="R906" s="3">
        <f t="shared" si="244"/>
        <v>0</v>
      </c>
      <c r="S906" s="3">
        <v>0</v>
      </c>
      <c r="T906" s="32">
        <v>0</v>
      </c>
      <c r="U906" s="3">
        <v>0</v>
      </c>
      <c r="V906" s="6">
        <f t="shared" si="239"/>
        <v>6600</v>
      </c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  <c r="GJ906" s="7"/>
      <c r="GK906" s="7"/>
      <c r="GL906" s="7"/>
      <c r="GM906" s="7"/>
      <c r="GN906" s="7"/>
      <c r="GO906" s="7"/>
      <c r="GP906" s="7"/>
      <c r="GQ906" s="7"/>
      <c r="GR906" s="7"/>
      <c r="GS906" s="7"/>
      <c r="GT906" s="7"/>
      <c r="GU906" s="7"/>
      <c r="GV906" s="7"/>
      <c r="GW906" s="7"/>
      <c r="GX906" s="7"/>
      <c r="GY906" s="7"/>
      <c r="GZ906" s="7"/>
      <c r="HA906" s="7"/>
      <c r="HB906" s="7"/>
      <c r="HC906" s="7"/>
      <c r="HD906" s="7"/>
      <c r="HE906" s="7"/>
      <c r="HF906" s="7"/>
      <c r="HG906" s="7"/>
      <c r="HH906" s="7"/>
      <c r="HI906" s="7"/>
      <c r="HJ906" s="7"/>
      <c r="HK906" s="7"/>
      <c r="HL906" s="7"/>
      <c r="HM906" s="7"/>
      <c r="HN906" s="7"/>
      <c r="HO906" s="7"/>
      <c r="HP906" s="7"/>
      <c r="HQ906" s="7"/>
      <c r="HR906" s="7"/>
      <c r="HS906" s="7"/>
      <c r="HT906" s="7"/>
      <c r="HU906" s="7"/>
      <c r="HV906" s="7"/>
      <c r="HW906" s="7"/>
      <c r="HX906" s="7"/>
      <c r="HY906" s="7"/>
      <c r="HZ906" s="7"/>
      <c r="IA906" s="7"/>
      <c r="IB906" s="7"/>
      <c r="IC906" s="7"/>
      <c r="ID906" s="7"/>
      <c r="IE906" s="7"/>
      <c r="IF906" s="7"/>
      <c r="IG906" s="7"/>
      <c r="IH906" s="7"/>
      <c r="II906" s="7"/>
      <c r="IJ906" s="7"/>
      <c r="IK906" s="7"/>
      <c r="IL906" s="7"/>
      <c r="IM906" s="7"/>
      <c r="IN906" s="7"/>
      <c r="IO906" s="7"/>
      <c r="IP906" s="7"/>
      <c r="IQ906" s="7"/>
      <c r="IR906" s="7"/>
      <c r="IS906" s="7"/>
      <c r="IT906" s="7"/>
      <c r="IU906" s="7"/>
      <c r="IV906" s="7"/>
      <c r="IW906" s="7"/>
      <c r="IX906" s="7"/>
    </row>
    <row r="907" spans="1:258" s="58" customFormat="1" ht="24.6" customHeight="1" x14ac:dyDescent="0.3">
      <c r="A907" s="46" t="s">
        <v>1701</v>
      </c>
      <c r="B907" s="54" t="s">
        <v>790</v>
      </c>
      <c r="C907" s="2">
        <f t="shared" si="237"/>
        <v>39337508.219999999</v>
      </c>
      <c r="D907" s="3">
        <f t="shared" si="238"/>
        <v>17023500</v>
      </c>
      <c r="E907" s="3">
        <f>700*5674.5</f>
        <v>3972150</v>
      </c>
      <c r="F907" s="3">
        <f>1300*5674.5</f>
        <v>7376850</v>
      </c>
      <c r="G907" s="3">
        <f>300*5674.5</f>
        <v>1702350</v>
      </c>
      <c r="H907" s="3">
        <f>400*5674.5</f>
        <v>2269800</v>
      </c>
      <c r="I907" s="3">
        <f>300*5674.5</f>
        <v>1702350</v>
      </c>
      <c r="J907" s="3">
        <v>0</v>
      </c>
      <c r="K907" s="4">
        <v>0</v>
      </c>
      <c r="L907" s="3">
        <v>0</v>
      </c>
      <c r="M907" s="32">
        <v>1409.5</v>
      </c>
      <c r="N907" s="3">
        <f t="shared" si="243"/>
        <v>9302700</v>
      </c>
      <c r="O907" s="3">
        <v>0</v>
      </c>
      <c r="P907" s="3">
        <v>0</v>
      </c>
      <c r="Q907" s="3">
        <v>3963.5</v>
      </c>
      <c r="R907" s="3">
        <f t="shared" si="244"/>
        <v>12683200</v>
      </c>
      <c r="S907" s="3">
        <v>0</v>
      </c>
      <c r="T907" s="32">
        <v>0</v>
      </c>
      <c r="U907" s="3">
        <v>328108.21999999997</v>
      </c>
      <c r="V907" s="6">
        <f t="shared" si="239"/>
        <v>6600</v>
      </c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7"/>
      <c r="DZ907" s="7"/>
      <c r="EA907" s="7"/>
      <c r="EB907" s="7"/>
      <c r="EC907" s="7"/>
      <c r="ED907" s="7"/>
      <c r="EE907" s="7"/>
      <c r="EF907" s="7"/>
      <c r="EG907" s="7"/>
      <c r="EH907" s="7"/>
      <c r="EI907" s="7"/>
      <c r="EJ907" s="7"/>
      <c r="EK907" s="7"/>
      <c r="EL907" s="7"/>
      <c r="EM907" s="7"/>
      <c r="EN907" s="7"/>
      <c r="EO907" s="7"/>
      <c r="EP907" s="7"/>
      <c r="EQ907" s="7"/>
      <c r="ER907" s="7"/>
      <c r="ES907" s="7"/>
      <c r="ET907" s="7"/>
      <c r="EU907" s="7"/>
      <c r="EV907" s="7"/>
      <c r="EW907" s="7"/>
      <c r="EX907" s="7"/>
      <c r="EY907" s="7"/>
      <c r="EZ907" s="7"/>
      <c r="FA907" s="7"/>
      <c r="FB907" s="7"/>
      <c r="FC907" s="7"/>
      <c r="FD907" s="7"/>
      <c r="FE907" s="7"/>
      <c r="FF907" s="7"/>
      <c r="FG907" s="7"/>
      <c r="FH907" s="7"/>
      <c r="FI907" s="7"/>
      <c r="FJ907" s="7"/>
      <c r="FK907" s="7"/>
      <c r="FL907" s="7"/>
      <c r="FM907" s="7"/>
      <c r="FN907" s="7"/>
      <c r="FO907" s="7"/>
      <c r="FP907" s="7"/>
      <c r="FQ907" s="7"/>
      <c r="FR907" s="7"/>
      <c r="FS907" s="7"/>
      <c r="FT907" s="7"/>
      <c r="FU907" s="7"/>
      <c r="FV907" s="7"/>
      <c r="FW907" s="7"/>
      <c r="FX907" s="7"/>
      <c r="FY907" s="7"/>
      <c r="FZ907" s="7"/>
      <c r="GA907" s="7"/>
      <c r="GB907" s="7"/>
      <c r="GC907" s="7"/>
      <c r="GD907" s="7"/>
      <c r="GE907" s="7"/>
      <c r="GF907" s="7"/>
      <c r="GG907" s="7"/>
      <c r="GH907" s="7"/>
      <c r="GI907" s="7"/>
      <c r="GJ907" s="7"/>
      <c r="GK907" s="7"/>
      <c r="GL907" s="7"/>
      <c r="GM907" s="7"/>
      <c r="GN907" s="7"/>
      <c r="GO907" s="7"/>
      <c r="GP907" s="7"/>
      <c r="GQ907" s="7"/>
      <c r="GR907" s="7"/>
      <c r="GS907" s="7"/>
      <c r="GT907" s="7"/>
      <c r="GU907" s="7"/>
      <c r="GV907" s="7"/>
      <c r="GW907" s="7"/>
      <c r="GX907" s="7"/>
      <c r="GY907" s="7"/>
      <c r="GZ907" s="7"/>
      <c r="HA907" s="7"/>
      <c r="HB907" s="7"/>
      <c r="HC907" s="7"/>
      <c r="HD907" s="7"/>
      <c r="HE907" s="7"/>
      <c r="HF907" s="7"/>
      <c r="HG907" s="7"/>
      <c r="HH907" s="7"/>
      <c r="HI907" s="7"/>
      <c r="HJ907" s="7"/>
      <c r="HK907" s="7"/>
      <c r="HL907" s="7"/>
      <c r="HM907" s="7"/>
      <c r="HN907" s="7"/>
      <c r="HO907" s="7"/>
      <c r="HP907" s="7"/>
      <c r="HQ907" s="7"/>
      <c r="HR907" s="7"/>
      <c r="HS907" s="7"/>
      <c r="HT907" s="7"/>
      <c r="HU907" s="7"/>
      <c r="HV907" s="7"/>
      <c r="HW907" s="7"/>
      <c r="HX907" s="7"/>
      <c r="HY907" s="7"/>
      <c r="HZ907" s="7"/>
      <c r="IA907" s="7"/>
      <c r="IB907" s="7"/>
      <c r="IC907" s="7"/>
      <c r="ID907" s="7"/>
      <c r="IE907" s="7"/>
      <c r="IF907" s="7"/>
      <c r="IG907" s="7"/>
      <c r="IH907" s="7"/>
      <c r="II907" s="7"/>
      <c r="IJ907" s="7"/>
      <c r="IK907" s="7"/>
      <c r="IL907" s="7"/>
      <c r="IM907" s="7"/>
      <c r="IN907" s="7"/>
      <c r="IO907" s="7"/>
      <c r="IP907" s="7"/>
      <c r="IQ907" s="7"/>
      <c r="IR907" s="7"/>
      <c r="IS907" s="7"/>
      <c r="IT907" s="7"/>
      <c r="IU907" s="7"/>
      <c r="IV907" s="7"/>
      <c r="IW907" s="7"/>
      <c r="IX907" s="7"/>
    </row>
    <row r="908" spans="1:258" ht="25.2" customHeight="1" x14ac:dyDescent="0.3">
      <c r="A908" s="46" t="s">
        <v>1702</v>
      </c>
      <c r="B908" s="49" t="s">
        <v>442</v>
      </c>
      <c r="C908" s="2">
        <f t="shared" si="237"/>
        <v>2521200</v>
      </c>
      <c r="D908" s="3">
        <f t="shared" si="238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382</v>
      </c>
      <c r="N908" s="3">
        <f t="shared" si="243"/>
        <v>2521200</v>
      </c>
      <c r="O908" s="3">
        <v>0</v>
      </c>
      <c r="P908" s="3">
        <v>0</v>
      </c>
      <c r="Q908" s="3">
        <v>0</v>
      </c>
      <c r="R908" s="3">
        <f>Q908*3000</f>
        <v>0</v>
      </c>
      <c r="S908" s="3">
        <v>0</v>
      </c>
      <c r="T908" s="32">
        <v>0</v>
      </c>
      <c r="U908" s="3">
        <v>0</v>
      </c>
      <c r="V908" s="6">
        <f t="shared" si="239"/>
        <v>6600</v>
      </c>
    </row>
    <row r="909" spans="1:258" ht="25.2" customHeight="1" x14ac:dyDescent="0.3">
      <c r="A909" s="46" t="s">
        <v>1977</v>
      </c>
      <c r="B909" s="49" t="s">
        <v>664</v>
      </c>
      <c r="C909" s="2">
        <f t="shared" si="237"/>
        <v>1914000</v>
      </c>
      <c r="D909" s="3">
        <f t="shared" si="238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290</v>
      </c>
      <c r="N909" s="3">
        <f t="shared" si="243"/>
        <v>1914000</v>
      </c>
      <c r="O909" s="3">
        <v>0</v>
      </c>
      <c r="P909" s="3">
        <v>0</v>
      </c>
      <c r="Q909" s="3">
        <v>0</v>
      </c>
      <c r="R909" s="3">
        <f t="shared" ref="R909:R920" si="245">Q909*3200</f>
        <v>0</v>
      </c>
      <c r="S909" s="3">
        <v>0</v>
      </c>
      <c r="T909" s="32">
        <v>0</v>
      </c>
      <c r="U909" s="3">
        <v>0</v>
      </c>
      <c r="V909" s="6">
        <f t="shared" si="239"/>
        <v>6600</v>
      </c>
    </row>
    <row r="910" spans="1:258" ht="25.2" customHeight="1" x14ac:dyDescent="0.3">
      <c r="A910" s="46" t="s">
        <v>1703</v>
      </c>
      <c r="B910" s="49" t="s">
        <v>665</v>
      </c>
      <c r="C910" s="2">
        <f t="shared" si="237"/>
        <v>1933800</v>
      </c>
      <c r="D910" s="3">
        <f t="shared" si="238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293</v>
      </c>
      <c r="N910" s="3">
        <f t="shared" si="243"/>
        <v>1933800</v>
      </c>
      <c r="O910" s="3">
        <v>0</v>
      </c>
      <c r="P910" s="3">
        <v>0</v>
      </c>
      <c r="Q910" s="3">
        <v>0</v>
      </c>
      <c r="R910" s="3">
        <f t="shared" si="245"/>
        <v>0</v>
      </c>
      <c r="S910" s="3">
        <v>0</v>
      </c>
      <c r="T910" s="32">
        <v>0</v>
      </c>
      <c r="U910" s="3">
        <v>0</v>
      </c>
      <c r="V910" s="6">
        <f t="shared" si="239"/>
        <v>6600</v>
      </c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59"/>
      <c r="AJ910" s="59"/>
      <c r="AK910" s="59"/>
      <c r="AL910" s="59"/>
      <c r="AM910" s="59"/>
      <c r="AN910" s="59"/>
      <c r="AO910" s="59"/>
      <c r="AP910" s="59"/>
      <c r="AQ910" s="59"/>
      <c r="AR910" s="59"/>
      <c r="AS910" s="59"/>
      <c r="AT910" s="59"/>
      <c r="AU910" s="59"/>
      <c r="AV910" s="59"/>
      <c r="AW910" s="59"/>
      <c r="AX910" s="59"/>
      <c r="AY910" s="59"/>
      <c r="AZ910" s="59"/>
      <c r="BA910" s="59"/>
      <c r="BB910" s="59"/>
      <c r="BC910" s="59"/>
      <c r="BD910" s="59"/>
      <c r="BE910" s="59"/>
      <c r="BF910" s="59"/>
      <c r="BG910" s="59"/>
      <c r="BH910" s="59"/>
      <c r="BI910" s="59"/>
      <c r="BJ910" s="59"/>
      <c r="BK910" s="59"/>
      <c r="BL910" s="59"/>
      <c r="BM910" s="59"/>
      <c r="BN910" s="59"/>
      <c r="BO910" s="59"/>
      <c r="BP910" s="59"/>
      <c r="BQ910" s="59"/>
      <c r="BR910" s="59"/>
      <c r="BS910" s="59"/>
      <c r="BT910" s="59"/>
      <c r="BU910" s="59"/>
      <c r="BV910" s="59"/>
      <c r="BW910" s="59"/>
      <c r="BX910" s="59"/>
      <c r="BY910" s="59"/>
      <c r="BZ910" s="59"/>
      <c r="CA910" s="59"/>
      <c r="CB910" s="59"/>
      <c r="CC910" s="59"/>
      <c r="CD910" s="59"/>
      <c r="CE910" s="59"/>
      <c r="CF910" s="59"/>
      <c r="CG910" s="59"/>
      <c r="CH910" s="59"/>
      <c r="CI910" s="59"/>
      <c r="CJ910" s="59"/>
      <c r="CK910" s="59"/>
      <c r="CL910" s="59"/>
      <c r="CM910" s="59"/>
      <c r="CN910" s="59"/>
      <c r="CO910" s="59"/>
      <c r="CP910" s="59"/>
      <c r="CQ910" s="59"/>
      <c r="CR910" s="59"/>
      <c r="CS910" s="59"/>
      <c r="CT910" s="59"/>
      <c r="CU910" s="59"/>
      <c r="CV910" s="59"/>
      <c r="CW910" s="59"/>
      <c r="CX910" s="59"/>
      <c r="CY910" s="59"/>
      <c r="CZ910" s="59"/>
      <c r="DA910" s="59"/>
      <c r="DB910" s="59"/>
      <c r="DC910" s="59"/>
      <c r="DD910" s="59"/>
      <c r="DE910" s="59"/>
      <c r="DF910" s="59"/>
      <c r="DG910" s="59"/>
      <c r="DH910" s="59"/>
      <c r="DI910" s="59"/>
      <c r="DJ910" s="59"/>
      <c r="DK910" s="59"/>
      <c r="DL910" s="59"/>
      <c r="DM910" s="59"/>
      <c r="DN910" s="59"/>
      <c r="DO910" s="59"/>
      <c r="DP910" s="59"/>
      <c r="DQ910" s="59"/>
      <c r="DR910" s="59"/>
      <c r="DS910" s="59"/>
      <c r="DT910" s="59"/>
      <c r="DU910" s="59"/>
      <c r="DV910" s="59"/>
      <c r="DW910" s="59"/>
      <c r="DX910" s="59"/>
      <c r="DY910" s="59"/>
      <c r="DZ910" s="59"/>
      <c r="EA910" s="59"/>
      <c r="EB910" s="59"/>
      <c r="EC910" s="59"/>
      <c r="ED910" s="59"/>
      <c r="EE910" s="59"/>
      <c r="EF910" s="59"/>
      <c r="EG910" s="59"/>
      <c r="EH910" s="59"/>
      <c r="EI910" s="59"/>
      <c r="EJ910" s="59"/>
      <c r="EK910" s="59"/>
      <c r="EL910" s="59"/>
      <c r="EM910" s="59"/>
      <c r="EN910" s="59"/>
      <c r="EO910" s="59"/>
      <c r="EP910" s="59"/>
      <c r="EQ910" s="59"/>
      <c r="ER910" s="59"/>
      <c r="ES910" s="59"/>
      <c r="ET910" s="59"/>
      <c r="EU910" s="59"/>
      <c r="EV910" s="59"/>
      <c r="EW910" s="59"/>
      <c r="EX910" s="59"/>
      <c r="EY910" s="59"/>
      <c r="EZ910" s="59"/>
      <c r="FA910" s="59"/>
      <c r="FB910" s="59"/>
      <c r="FC910" s="59"/>
      <c r="FD910" s="59"/>
      <c r="FE910" s="59"/>
      <c r="FF910" s="59"/>
      <c r="FG910" s="59"/>
      <c r="FH910" s="59"/>
      <c r="FI910" s="59"/>
      <c r="FJ910" s="59"/>
      <c r="FK910" s="59"/>
      <c r="FL910" s="59"/>
      <c r="FM910" s="59"/>
      <c r="FN910" s="59"/>
      <c r="FO910" s="59"/>
      <c r="FP910" s="59"/>
      <c r="FQ910" s="59"/>
      <c r="FR910" s="59"/>
      <c r="FS910" s="59"/>
      <c r="FT910" s="59"/>
      <c r="FU910" s="59"/>
      <c r="FV910" s="59"/>
      <c r="FW910" s="59"/>
      <c r="FX910" s="59"/>
      <c r="FY910" s="59"/>
      <c r="FZ910" s="59"/>
      <c r="GA910" s="59"/>
      <c r="GB910" s="59"/>
      <c r="GC910" s="59"/>
      <c r="GD910" s="59"/>
      <c r="GE910" s="59"/>
      <c r="GF910" s="59"/>
      <c r="GG910" s="59"/>
      <c r="GH910" s="59"/>
      <c r="GI910" s="59"/>
      <c r="GJ910" s="59"/>
      <c r="GK910" s="59"/>
      <c r="GL910" s="59"/>
      <c r="GM910" s="59"/>
      <c r="GN910" s="59"/>
      <c r="GO910" s="59"/>
      <c r="GP910" s="59"/>
      <c r="GQ910" s="59"/>
      <c r="GR910" s="59"/>
      <c r="GS910" s="59"/>
      <c r="GT910" s="59"/>
      <c r="GU910" s="59"/>
      <c r="GV910" s="59"/>
      <c r="GW910" s="59"/>
      <c r="GX910" s="59"/>
      <c r="GY910" s="59"/>
      <c r="GZ910" s="59"/>
      <c r="HA910" s="59"/>
      <c r="HB910" s="59"/>
      <c r="HC910" s="59"/>
      <c r="HD910" s="59"/>
      <c r="HE910" s="59"/>
      <c r="HF910" s="59"/>
      <c r="HG910" s="59"/>
      <c r="HH910" s="59"/>
      <c r="HI910" s="59"/>
      <c r="HJ910" s="59"/>
      <c r="HK910" s="59"/>
      <c r="HL910" s="59"/>
      <c r="HM910" s="59"/>
      <c r="HN910" s="59"/>
      <c r="HO910" s="59"/>
      <c r="HP910" s="59"/>
      <c r="HQ910" s="59"/>
      <c r="HR910" s="59"/>
      <c r="HS910" s="59"/>
      <c r="HT910" s="59"/>
      <c r="HU910" s="59"/>
      <c r="HV910" s="59"/>
      <c r="HW910" s="59"/>
      <c r="HX910" s="59"/>
      <c r="HY910" s="59"/>
      <c r="HZ910" s="59"/>
      <c r="IA910" s="59"/>
      <c r="IB910" s="59"/>
      <c r="IC910" s="59"/>
      <c r="ID910" s="59"/>
      <c r="IE910" s="59"/>
      <c r="IF910" s="59"/>
      <c r="IG910" s="59"/>
      <c r="IH910" s="59"/>
      <c r="II910" s="59"/>
      <c r="IJ910" s="59"/>
      <c r="IK910" s="59"/>
      <c r="IL910" s="59"/>
      <c r="IM910" s="59"/>
      <c r="IN910" s="59"/>
      <c r="IO910" s="59"/>
      <c r="IP910" s="59"/>
      <c r="IQ910" s="59"/>
      <c r="IR910" s="59"/>
      <c r="IS910" s="59"/>
      <c r="IT910" s="59"/>
      <c r="IU910" s="59"/>
      <c r="IV910" s="59"/>
      <c r="IW910" s="59"/>
      <c r="IX910" s="59"/>
    </row>
    <row r="911" spans="1:258" s="59" customFormat="1" ht="25.2" customHeight="1" x14ac:dyDescent="0.3">
      <c r="A911" s="46" t="s">
        <v>1704</v>
      </c>
      <c r="B911" s="49" t="s">
        <v>666</v>
      </c>
      <c r="C911" s="2">
        <f t="shared" si="237"/>
        <v>1933800</v>
      </c>
      <c r="D911" s="3">
        <f t="shared" si="238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293</v>
      </c>
      <c r="N911" s="3">
        <f t="shared" si="243"/>
        <v>1933800</v>
      </c>
      <c r="O911" s="3">
        <v>0</v>
      </c>
      <c r="P911" s="3">
        <v>0</v>
      </c>
      <c r="Q911" s="3">
        <v>0</v>
      </c>
      <c r="R911" s="3">
        <f t="shared" si="245"/>
        <v>0</v>
      </c>
      <c r="S911" s="3">
        <v>0</v>
      </c>
      <c r="T911" s="32">
        <v>0</v>
      </c>
      <c r="U911" s="3">
        <v>0</v>
      </c>
      <c r="V911" s="6">
        <f t="shared" si="239"/>
        <v>6600</v>
      </c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7"/>
      <c r="DZ911" s="7"/>
      <c r="EA911" s="7"/>
      <c r="EB911" s="7"/>
      <c r="EC911" s="7"/>
      <c r="ED911" s="7"/>
      <c r="EE911" s="7"/>
      <c r="EF911" s="7"/>
      <c r="EG911" s="7"/>
      <c r="EH911" s="7"/>
      <c r="EI911" s="7"/>
      <c r="EJ911" s="7"/>
      <c r="EK911" s="7"/>
      <c r="EL911" s="7"/>
      <c r="EM911" s="7"/>
      <c r="EN911" s="7"/>
      <c r="EO911" s="7"/>
      <c r="EP911" s="7"/>
      <c r="EQ911" s="7"/>
      <c r="ER911" s="7"/>
      <c r="ES911" s="7"/>
      <c r="ET911" s="7"/>
      <c r="EU911" s="7"/>
      <c r="EV911" s="7"/>
      <c r="EW911" s="7"/>
      <c r="EX911" s="7"/>
      <c r="EY911" s="7"/>
      <c r="EZ911" s="7"/>
      <c r="FA911" s="7"/>
      <c r="FB911" s="7"/>
      <c r="FC911" s="7"/>
      <c r="FD911" s="7"/>
      <c r="FE911" s="7"/>
      <c r="FF911" s="7"/>
      <c r="FG911" s="7"/>
      <c r="FH911" s="7"/>
      <c r="FI911" s="7"/>
      <c r="FJ911" s="7"/>
      <c r="FK911" s="7"/>
      <c r="FL911" s="7"/>
      <c r="FM911" s="7"/>
      <c r="FN911" s="7"/>
      <c r="FO911" s="7"/>
      <c r="FP911" s="7"/>
      <c r="FQ911" s="7"/>
      <c r="FR911" s="7"/>
      <c r="FS911" s="7"/>
      <c r="FT911" s="7"/>
      <c r="FU911" s="7"/>
      <c r="FV911" s="7"/>
      <c r="FW911" s="7"/>
      <c r="FX911" s="7"/>
      <c r="FY911" s="7"/>
      <c r="FZ911" s="7"/>
      <c r="GA911" s="7"/>
      <c r="GB911" s="7"/>
      <c r="GC911" s="7"/>
      <c r="GD911" s="7"/>
      <c r="GE911" s="7"/>
      <c r="GF911" s="7"/>
      <c r="GG911" s="7"/>
      <c r="GH911" s="7"/>
      <c r="GI911" s="7"/>
      <c r="GJ911" s="7"/>
      <c r="GK911" s="7"/>
      <c r="GL911" s="7"/>
      <c r="GM911" s="7"/>
      <c r="GN911" s="7"/>
      <c r="GO911" s="7"/>
      <c r="GP911" s="7"/>
      <c r="GQ911" s="7"/>
      <c r="GR911" s="7"/>
      <c r="GS911" s="7"/>
      <c r="GT911" s="7"/>
      <c r="GU911" s="7"/>
      <c r="GV911" s="7"/>
      <c r="GW911" s="7"/>
      <c r="GX911" s="7"/>
      <c r="GY911" s="7"/>
      <c r="GZ911" s="7"/>
      <c r="HA911" s="7"/>
      <c r="HB911" s="7"/>
      <c r="HC911" s="7"/>
      <c r="HD911" s="7"/>
      <c r="HE911" s="7"/>
      <c r="HF911" s="7"/>
      <c r="HG911" s="7"/>
      <c r="HH911" s="7"/>
      <c r="HI911" s="7"/>
      <c r="HJ911" s="7"/>
      <c r="HK911" s="7"/>
      <c r="HL911" s="7"/>
      <c r="HM911" s="7"/>
      <c r="HN911" s="7"/>
      <c r="HO911" s="7"/>
      <c r="HP911" s="7"/>
      <c r="HQ911" s="7"/>
      <c r="HR911" s="7"/>
      <c r="HS911" s="7"/>
      <c r="HT911" s="7"/>
      <c r="HU911" s="7"/>
      <c r="HV911" s="7"/>
      <c r="HW911" s="7"/>
      <c r="HX911" s="7"/>
      <c r="HY911" s="7"/>
      <c r="HZ911" s="7"/>
      <c r="IA911" s="7"/>
      <c r="IB911" s="7"/>
      <c r="IC911" s="7"/>
      <c r="ID911" s="7"/>
      <c r="IE911" s="7"/>
      <c r="IF911" s="7"/>
      <c r="IG911" s="7"/>
      <c r="IH911" s="7"/>
      <c r="II911" s="7"/>
      <c r="IJ911" s="7"/>
      <c r="IK911" s="7"/>
      <c r="IL911" s="7"/>
      <c r="IM911" s="7"/>
      <c r="IN911" s="7"/>
      <c r="IO911" s="7"/>
      <c r="IP911" s="7"/>
      <c r="IQ911" s="7"/>
      <c r="IR911" s="7"/>
      <c r="IS911" s="7"/>
      <c r="IT911" s="7"/>
      <c r="IU911" s="7"/>
      <c r="IV911" s="7"/>
      <c r="IW911" s="7"/>
      <c r="IX911" s="7"/>
    </row>
    <row r="912" spans="1:258" ht="25.2" customHeight="1" x14ac:dyDescent="0.3">
      <c r="A912" s="46" t="s">
        <v>1705</v>
      </c>
      <c r="B912" s="49" t="s">
        <v>667</v>
      </c>
      <c r="C912" s="2">
        <f t="shared" si="237"/>
        <v>1940400</v>
      </c>
      <c r="D912" s="3">
        <f t="shared" si="238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294</v>
      </c>
      <c r="N912" s="3">
        <f t="shared" si="243"/>
        <v>1940400</v>
      </c>
      <c r="O912" s="3">
        <v>0</v>
      </c>
      <c r="P912" s="3">
        <v>0</v>
      </c>
      <c r="Q912" s="3">
        <v>0</v>
      </c>
      <c r="R912" s="3">
        <f t="shared" si="245"/>
        <v>0</v>
      </c>
      <c r="S912" s="3">
        <v>0</v>
      </c>
      <c r="T912" s="32">
        <v>0</v>
      </c>
      <c r="U912" s="3">
        <v>0</v>
      </c>
      <c r="V912" s="6">
        <f t="shared" si="239"/>
        <v>6600</v>
      </c>
    </row>
    <row r="913" spans="1:258" ht="25.2" customHeight="1" x14ac:dyDescent="0.3">
      <c r="A913" s="46" t="s">
        <v>1706</v>
      </c>
      <c r="B913" s="49" t="s">
        <v>668</v>
      </c>
      <c r="C913" s="2">
        <f t="shared" si="237"/>
        <v>1920600</v>
      </c>
      <c r="D913" s="3">
        <f t="shared" si="238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4">
        <v>0</v>
      </c>
      <c r="L913" s="3">
        <v>0</v>
      </c>
      <c r="M913" s="3">
        <v>291</v>
      </c>
      <c r="N913" s="3">
        <f t="shared" si="243"/>
        <v>1920600</v>
      </c>
      <c r="O913" s="3">
        <v>0</v>
      </c>
      <c r="P913" s="3">
        <v>0</v>
      </c>
      <c r="Q913" s="3">
        <v>0</v>
      </c>
      <c r="R913" s="3">
        <f t="shared" si="245"/>
        <v>0</v>
      </c>
      <c r="S913" s="3">
        <v>0</v>
      </c>
      <c r="T913" s="32">
        <v>0</v>
      </c>
      <c r="U913" s="3">
        <v>0</v>
      </c>
      <c r="V913" s="6">
        <f t="shared" si="239"/>
        <v>6600</v>
      </c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  <c r="BC913" s="58"/>
      <c r="BD913" s="58"/>
      <c r="BE913" s="58"/>
      <c r="BF913" s="58"/>
      <c r="BG913" s="58"/>
      <c r="BH913" s="58"/>
      <c r="BI913" s="58"/>
      <c r="BJ913" s="58"/>
      <c r="BK913" s="58"/>
      <c r="BL913" s="58"/>
      <c r="BM913" s="58"/>
      <c r="BN913" s="58"/>
      <c r="BO913" s="58"/>
      <c r="BP913" s="58"/>
      <c r="BQ913" s="58"/>
      <c r="BR913" s="58"/>
      <c r="BS913" s="58"/>
      <c r="BT913" s="58"/>
      <c r="BU913" s="58"/>
      <c r="BV913" s="58"/>
      <c r="BW913" s="58"/>
      <c r="BX913" s="58"/>
      <c r="BY913" s="58"/>
      <c r="BZ913" s="58"/>
      <c r="CA913" s="58"/>
      <c r="CB913" s="58"/>
      <c r="CC913" s="58"/>
      <c r="CD913" s="58"/>
      <c r="CE913" s="58"/>
      <c r="CF913" s="58"/>
      <c r="CG913" s="58"/>
      <c r="CH913" s="58"/>
      <c r="CI913" s="58"/>
      <c r="CJ913" s="58"/>
      <c r="CK913" s="58"/>
      <c r="CL913" s="58"/>
      <c r="CM913" s="58"/>
      <c r="CN913" s="58"/>
      <c r="CO913" s="58"/>
      <c r="CP913" s="58"/>
      <c r="CQ913" s="58"/>
      <c r="CR913" s="58"/>
      <c r="CS913" s="58"/>
      <c r="CT913" s="58"/>
      <c r="CU913" s="58"/>
      <c r="CV913" s="58"/>
      <c r="CW913" s="58"/>
      <c r="CX913" s="58"/>
      <c r="CY913" s="58"/>
      <c r="CZ913" s="58"/>
      <c r="DA913" s="58"/>
      <c r="DB913" s="58"/>
      <c r="DC913" s="58"/>
      <c r="DD913" s="58"/>
      <c r="DE913" s="58"/>
      <c r="DF913" s="58"/>
      <c r="DG913" s="58"/>
      <c r="DH913" s="58"/>
      <c r="DI913" s="58"/>
      <c r="DJ913" s="58"/>
      <c r="DK913" s="58"/>
      <c r="DL913" s="58"/>
      <c r="DM913" s="58"/>
      <c r="DN913" s="58"/>
      <c r="DO913" s="58"/>
      <c r="DP913" s="58"/>
      <c r="DQ913" s="58"/>
      <c r="DR913" s="58"/>
      <c r="DS913" s="58"/>
      <c r="DT913" s="58"/>
      <c r="DU913" s="58"/>
      <c r="DV913" s="58"/>
      <c r="DW913" s="58"/>
      <c r="DX913" s="58"/>
      <c r="DY913" s="58"/>
      <c r="DZ913" s="58"/>
      <c r="EA913" s="58"/>
      <c r="EB913" s="58"/>
      <c r="EC913" s="58"/>
      <c r="ED913" s="58"/>
      <c r="EE913" s="58"/>
      <c r="EF913" s="58"/>
      <c r="EG913" s="58"/>
      <c r="EH913" s="58"/>
      <c r="EI913" s="58"/>
      <c r="EJ913" s="58"/>
      <c r="EK913" s="58"/>
      <c r="EL913" s="58"/>
      <c r="EM913" s="58"/>
      <c r="EN913" s="58"/>
      <c r="EO913" s="58"/>
      <c r="EP913" s="58"/>
      <c r="EQ913" s="58"/>
      <c r="ER913" s="58"/>
      <c r="ES913" s="58"/>
      <c r="ET913" s="58"/>
      <c r="EU913" s="58"/>
      <c r="EV913" s="58"/>
      <c r="EW913" s="58"/>
      <c r="EX913" s="58"/>
      <c r="EY913" s="58"/>
      <c r="EZ913" s="58"/>
      <c r="FA913" s="58"/>
      <c r="FB913" s="58"/>
      <c r="FC913" s="58"/>
      <c r="FD913" s="58"/>
      <c r="FE913" s="58"/>
      <c r="FF913" s="58"/>
      <c r="FG913" s="58"/>
      <c r="FH913" s="58"/>
      <c r="FI913" s="58"/>
      <c r="FJ913" s="58"/>
      <c r="FK913" s="58"/>
      <c r="FL913" s="58"/>
      <c r="FM913" s="58"/>
      <c r="FN913" s="58"/>
      <c r="FO913" s="58"/>
      <c r="FP913" s="58"/>
      <c r="FQ913" s="58"/>
      <c r="FR913" s="58"/>
      <c r="FS913" s="58"/>
      <c r="FT913" s="58"/>
      <c r="FU913" s="58"/>
      <c r="FV913" s="58"/>
      <c r="FW913" s="58"/>
      <c r="FX913" s="58"/>
      <c r="FY913" s="58"/>
      <c r="FZ913" s="58"/>
      <c r="GA913" s="58"/>
      <c r="GB913" s="58"/>
      <c r="GC913" s="58"/>
      <c r="GD913" s="58"/>
      <c r="GE913" s="58"/>
      <c r="GF913" s="58"/>
      <c r="GG913" s="58"/>
      <c r="GH913" s="58"/>
      <c r="GI913" s="58"/>
      <c r="GJ913" s="58"/>
      <c r="GK913" s="58"/>
      <c r="GL913" s="58"/>
      <c r="GM913" s="58"/>
      <c r="GN913" s="58"/>
      <c r="GO913" s="58"/>
      <c r="GP913" s="58"/>
      <c r="GQ913" s="58"/>
      <c r="GR913" s="58"/>
      <c r="GS913" s="58"/>
      <c r="GT913" s="58"/>
      <c r="GU913" s="58"/>
      <c r="GV913" s="58"/>
      <c r="GW913" s="58"/>
      <c r="GX913" s="58"/>
      <c r="GY913" s="58"/>
      <c r="GZ913" s="58"/>
      <c r="HA913" s="58"/>
      <c r="HB913" s="58"/>
      <c r="HC913" s="58"/>
      <c r="HD913" s="58"/>
      <c r="HE913" s="58"/>
      <c r="HF913" s="58"/>
      <c r="HG913" s="58"/>
      <c r="HH913" s="58"/>
      <c r="HI913" s="58"/>
      <c r="HJ913" s="58"/>
      <c r="HK913" s="58"/>
      <c r="HL913" s="58"/>
      <c r="HM913" s="58"/>
      <c r="HN913" s="58"/>
      <c r="HO913" s="58"/>
      <c r="HP913" s="58"/>
      <c r="HQ913" s="58"/>
      <c r="HR913" s="58"/>
      <c r="HS913" s="58"/>
      <c r="HT913" s="58"/>
      <c r="HU913" s="58"/>
      <c r="HV913" s="58"/>
      <c r="HW913" s="58"/>
      <c r="HX913" s="58"/>
      <c r="HY913" s="58"/>
      <c r="HZ913" s="58"/>
      <c r="IA913" s="58"/>
      <c r="IB913" s="58"/>
      <c r="IC913" s="58"/>
      <c r="ID913" s="58"/>
      <c r="IE913" s="58"/>
      <c r="IF913" s="58"/>
      <c r="IG913" s="58"/>
      <c r="IH913" s="58"/>
      <c r="II913" s="58"/>
      <c r="IJ913" s="58"/>
      <c r="IK913" s="58"/>
      <c r="IL913" s="58"/>
      <c r="IM913" s="58"/>
      <c r="IN913" s="58"/>
      <c r="IO913" s="58"/>
      <c r="IP913" s="58"/>
      <c r="IQ913" s="58"/>
      <c r="IR913" s="58"/>
      <c r="IS913" s="58"/>
      <c r="IT913" s="58"/>
      <c r="IU913" s="58"/>
      <c r="IV913" s="58"/>
      <c r="IW913" s="58"/>
      <c r="IX913" s="58"/>
    </row>
    <row r="914" spans="1:258" ht="25.2" customHeight="1" x14ac:dyDescent="0.3">
      <c r="A914" s="46" t="s">
        <v>1707</v>
      </c>
      <c r="B914" s="49" t="s">
        <v>669</v>
      </c>
      <c r="C914" s="2">
        <f t="shared" si="237"/>
        <v>1907400</v>
      </c>
      <c r="D914" s="3">
        <f t="shared" si="238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3">
        <v>289</v>
      </c>
      <c r="N914" s="3">
        <f t="shared" si="243"/>
        <v>1907400</v>
      </c>
      <c r="O914" s="3">
        <v>0</v>
      </c>
      <c r="P914" s="3">
        <v>0</v>
      </c>
      <c r="Q914" s="3">
        <v>0</v>
      </c>
      <c r="R914" s="3">
        <f t="shared" si="245"/>
        <v>0</v>
      </c>
      <c r="S914" s="3">
        <v>0</v>
      </c>
      <c r="T914" s="32">
        <v>0</v>
      </c>
      <c r="U914" s="3">
        <v>0</v>
      </c>
      <c r="V914" s="6">
        <f t="shared" si="239"/>
        <v>6600</v>
      </c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  <c r="BC914" s="58"/>
      <c r="BD914" s="58"/>
      <c r="BE914" s="58"/>
      <c r="BF914" s="58"/>
      <c r="BG914" s="58"/>
      <c r="BH914" s="58"/>
      <c r="BI914" s="58"/>
      <c r="BJ914" s="58"/>
      <c r="BK914" s="58"/>
      <c r="BL914" s="58"/>
      <c r="BM914" s="58"/>
      <c r="BN914" s="58"/>
      <c r="BO914" s="58"/>
      <c r="BP914" s="58"/>
      <c r="BQ914" s="58"/>
      <c r="BR914" s="58"/>
      <c r="BS914" s="58"/>
      <c r="BT914" s="58"/>
      <c r="BU914" s="58"/>
      <c r="BV914" s="58"/>
      <c r="BW914" s="58"/>
      <c r="BX914" s="58"/>
      <c r="BY914" s="58"/>
      <c r="BZ914" s="58"/>
      <c r="CA914" s="58"/>
      <c r="CB914" s="58"/>
      <c r="CC914" s="58"/>
      <c r="CD914" s="58"/>
      <c r="CE914" s="58"/>
      <c r="CF914" s="58"/>
      <c r="CG914" s="58"/>
      <c r="CH914" s="58"/>
      <c r="CI914" s="58"/>
      <c r="CJ914" s="58"/>
      <c r="CK914" s="58"/>
      <c r="CL914" s="58"/>
      <c r="CM914" s="58"/>
      <c r="CN914" s="58"/>
      <c r="CO914" s="58"/>
      <c r="CP914" s="58"/>
      <c r="CQ914" s="58"/>
      <c r="CR914" s="58"/>
      <c r="CS914" s="58"/>
      <c r="CT914" s="58"/>
      <c r="CU914" s="58"/>
      <c r="CV914" s="58"/>
      <c r="CW914" s="58"/>
      <c r="CX914" s="58"/>
      <c r="CY914" s="58"/>
      <c r="CZ914" s="58"/>
      <c r="DA914" s="58"/>
      <c r="DB914" s="58"/>
      <c r="DC914" s="58"/>
      <c r="DD914" s="58"/>
      <c r="DE914" s="58"/>
      <c r="DF914" s="58"/>
      <c r="DG914" s="58"/>
      <c r="DH914" s="58"/>
      <c r="DI914" s="58"/>
      <c r="DJ914" s="58"/>
      <c r="DK914" s="58"/>
      <c r="DL914" s="58"/>
      <c r="DM914" s="58"/>
      <c r="DN914" s="58"/>
      <c r="DO914" s="58"/>
      <c r="DP914" s="58"/>
      <c r="DQ914" s="58"/>
      <c r="DR914" s="58"/>
      <c r="DS914" s="58"/>
      <c r="DT914" s="58"/>
      <c r="DU914" s="58"/>
      <c r="DV914" s="58"/>
      <c r="DW914" s="58"/>
      <c r="DX914" s="58"/>
      <c r="DY914" s="58"/>
      <c r="DZ914" s="58"/>
      <c r="EA914" s="58"/>
      <c r="EB914" s="58"/>
      <c r="EC914" s="58"/>
      <c r="ED914" s="58"/>
      <c r="EE914" s="58"/>
      <c r="EF914" s="58"/>
      <c r="EG914" s="58"/>
      <c r="EH914" s="58"/>
      <c r="EI914" s="58"/>
      <c r="EJ914" s="58"/>
      <c r="EK914" s="58"/>
      <c r="EL914" s="58"/>
      <c r="EM914" s="58"/>
      <c r="EN914" s="58"/>
      <c r="EO914" s="58"/>
      <c r="EP914" s="58"/>
      <c r="EQ914" s="58"/>
      <c r="ER914" s="58"/>
      <c r="ES914" s="58"/>
      <c r="ET914" s="58"/>
      <c r="EU914" s="58"/>
      <c r="EV914" s="58"/>
      <c r="EW914" s="58"/>
      <c r="EX914" s="58"/>
      <c r="EY914" s="58"/>
      <c r="EZ914" s="58"/>
      <c r="FA914" s="58"/>
      <c r="FB914" s="58"/>
      <c r="FC914" s="58"/>
      <c r="FD914" s="58"/>
      <c r="FE914" s="58"/>
      <c r="FF914" s="58"/>
      <c r="FG914" s="58"/>
      <c r="FH914" s="58"/>
      <c r="FI914" s="58"/>
      <c r="FJ914" s="58"/>
      <c r="FK914" s="58"/>
      <c r="FL914" s="58"/>
      <c r="FM914" s="58"/>
      <c r="FN914" s="58"/>
      <c r="FO914" s="58"/>
      <c r="FP914" s="58"/>
      <c r="FQ914" s="58"/>
      <c r="FR914" s="58"/>
      <c r="FS914" s="58"/>
      <c r="FT914" s="58"/>
      <c r="FU914" s="58"/>
      <c r="FV914" s="58"/>
      <c r="FW914" s="58"/>
      <c r="FX914" s="58"/>
      <c r="FY914" s="58"/>
      <c r="FZ914" s="58"/>
      <c r="GA914" s="58"/>
      <c r="GB914" s="58"/>
      <c r="GC914" s="58"/>
      <c r="GD914" s="58"/>
      <c r="GE914" s="58"/>
      <c r="GF914" s="58"/>
      <c r="GG914" s="58"/>
      <c r="GH914" s="58"/>
      <c r="GI914" s="58"/>
      <c r="GJ914" s="58"/>
      <c r="GK914" s="58"/>
      <c r="GL914" s="58"/>
      <c r="GM914" s="58"/>
      <c r="GN914" s="58"/>
      <c r="GO914" s="58"/>
      <c r="GP914" s="58"/>
      <c r="GQ914" s="58"/>
      <c r="GR914" s="58"/>
      <c r="GS914" s="58"/>
      <c r="GT914" s="58"/>
      <c r="GU914" s="58"/>
      <c r="GV914" s="58"/>
      <c r="GW914" s="58"/>
      <c r="GX914" s="58"/>
      <c r="GY914" s="58"/>
      <c r="GZ914" s="58"/>
      <c r="HA914" s="58"/>
      <c r="HB914" s="58"/>
      <c r="HC914" s="58"/>
      <c r="HD914" s="58"/>
      <c r="HE914" s="58"/>
      <c r="HF914" s="58"/>
      <c r="HG914" s="58"/>
      <c r="HH914" s="58"/>
      <c r="HI914" s="58"/>
      <c r="HJ914" s="58"/>
      <c r="HK914" s="58"/>
      <c r="HL914" s="58"/>
      <c r="HM914" s="58"/>
      <c r="HN914" s="58"/>
      <c r="HO914" s="58"/>
      <c r="HP914" s="58"/>
      <c r="HQ914" s="58"/>
      <c r="HR914" s="58"/>
      <c r="HS914" s="58"/>
      <c r="HT914" s="58"/>
      <c r="HU914" s="58"/>
      <c r="HV914" s="58"/>
      <c r="HW914" s="58"/>
      <c r="HX914" s="58"/>
      <c r="HY914" s="58"/>
      <c r="HZ914" s="58"/>
      <c r="IA914" s="58"/>
      <c r="IB914" s="58"/>
      <c r="IC914" s="58"/>
      <c r="ID914" s="58"/>
      <c r="IE914" s="58"/>
      <c r="IF914" s="58"/>
      <c r="IG914" s="58"/>
      <c r="IH914" s="58"/>
      <c r="II914" s="58"/>
      <c r="IJ914" s="58"/>
      <c r="IK914" s="58"/>
      <c r="IL914" s="58"/>
      <c r="IM914" s="58"/>
      <c r="IN914" s="58"/>
      <c r="IO914" s="58"/>
      <c r="IP914" s="58"/>
      <c r="IQ914" s="58"/>
      <c r="IR914" s="58"/>
      <c r="IS914" s="58"/>
      <c r="IT914" s="58"/>
      <c r="IU914" s="58"/>
      <c r="IV914" s="58"/>
      <c r="IW914" s="58"/>
      <c r="IX914" s="58"/>
    </row>
    <row r="915" spans="1:258" ht="25.2" customHeight="1" x14ac:dyDescent="0.3">
      <c r="A915" s="46" t="s">
        <v>1708</v>
      </c>
      <c r="B915" s="49" t="s">
        <v>747</v>
      </c>
      <c r="C915" s="2">
        <f t="shared" si="237"/>
        <v>4501200</v>
      </c>
      <c r="D915" s="3">
        <f t="shared" si="238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32">
        <v>682</v>
      </c>
      <c r="N915" s="3">
        <f t="shared" si="243"/>
        <v>4501200</v>
      </c>
      <c r="O915" s="3">
        <v>0</v>
      </c>
      <c r="P915" s="3">
        <v>0</v>
      </c>
      <c r="Q915" s="3">
        <v>0</v>
      </c>
      <c r="R915" s="3">
        <f t="shared" si="245"/>
        <v>0</v>
      </c>
      <c r="S915" s="3">
        <v>0</v>
      </c>
      <c r="T915" s="32">
        <v>0</v>
      </c>
      <c r="U915" s="3">
        <v>0</v>
      </c>
      <c r="V915" s="6">
        <f t="shared" si="239"/>
        <v>6600</v>
      </c>
    </row>
    <row r="916" spans="1:258" ht="25.2" customHeight="1" x14ac:dyDescent="0.3">
      <c r="A916" s="46" t="s">
        <v>1709</v>
      </c>
      <c r="B916" s="49" t="s">
        <v>670</v>
      </c>
      <c r="C916" s="2">
        <f t="shared" si="237"/>
        <v>1927200</v>
      </c>
      <c r="D916" s="3">
        <f t="shared" si="238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292</v>
      </c>
      <c r="N916" s="3">
        <f t="shared" si="243"/>
        <v>1927200</v>
      </c>
      <c r="O916" s="3">
        <v>0</v>
      </c>
      <c r="P916" s="3">
        <v>0</v>
      </c>
      <c r="Q916" s="3">
        <v>0</v>
      </c>
      <c r="R916" s="3">
        <f t="shared" si="245"/>
        <v>0</v>
      </c>
      <c r="S916" s="3">
        <v>0</v>
      </c>
      <c r="T916" s="32">
        <v>0</v>
      </c>
      <c r="U916" s="3">
        <v>0</v>
      </c>
      <c r="V916" s="6">
        <f t="shared" si="239"/>
        <v>6600</v>
      </c>
    </row>
    <row r="917" spans="1:258" ht="25.2" customHeight="1" x14ac:dyDescent="0.3">
      <c r="A917" s="46" t="s">
        <v>1710</v>
      </c>
      <c r="B917" s="49" t="s">
        <v>671</v>
      </c>
      <c r="C917" s="2">
        <f t="shared" si="237"/>
        <v>1927200</v>
      </c>
      <c r="D917" s="3">
        <f t="shared" si="238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292</v>
      </c>
      <c r="N917" s="3">
        <f t="shared" si="243"/>
        <v>1927200</v>
      </c>
      <c r="O917" s="3">
        <v>0</v>
      </c>
      <c r="P917" s="3">
        <v>0</v>
      </c>
      <c r="Q917" s="3">
        <v>0</v>
      </c>
      <c r="R917" s="3">
        <f t="shared" si="245"/>
        <v>0</v>
      </c>
      <c r="S917" s="3">
        <v>0</v>
      </c>
      <c r="T917" s="32">
        <v>0</v>
      </c>
      <c r="U917" s="3">
        <v>0</v>
      </c>
      <c r="V917" s="6">
        <f t="shared" si="239"/>
        <v>6600</v>
      </c>
    </row>
    <row r="918" spans="1:258" ht="25.2" customHeight="1" x14ac:dyDescent="0.3">
      <c r="A918" s="46" t="s">
        <v>1711</v>
      </c>
      <c r="B918" s="49" t="s">
        <v>672</v>
      </c>
      <c r="C918" s="2">
        <f t="shared" si="237"/>
        <v>4501200</v>
      </c>
      <c r="D918" s="3">
        <f t="shared" si="238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682</v>
      </c>
      <c r="N918" s="3">
        <f t="shared" si="243"/>
        <v>4501200</v>
      </c>
      <c r="O918" s="3">
        <v>0</v>
      </c>
      <c r="P918" s="3">
        <v>0</v>
      </c>
      <c r="Q918" s="3">
        <v>0</v>
      </c>
      <c r="R918" s="3">
        <f t="shared" si="245"/>
        <v>0</v>
      </c>
      <c r="S918" s="3">
        <v>0</v>
      </c>
      <c r="T918" s="32">
        <v>0</v>
      </c>
      <c r="U918" s="3">
        <v>0</v>
      </c>
      <c r="V918" s="6">
        <f t="shared" si="239"/>
        <v>6600</v>
      </c>
    </row>
    <row r="919" spans="1:258" ht="25.2" customHeight="1" x14ac:dyDescent="0.3">
      <c r="A919" s="46" t="s">
        <v>1712</v>
      </c>
      <c r="B919" s="49" t="s">
        <v>673</v>
      </c>
      <c r="C919" s="2">
        <f t="shared" si="237"/>
        <v>1960200</v>
      </c>
      <c r="D919" s="3">
        <f t="shared" si="238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297</v>
      </c>
      <c r="N919" s="3">
        <f t="shared" si="243"/>
        <v>1960200</v>
      </c>
      <c r="O919" s="3">
        <v>0</v>
      </c>
      <c r="P919" s="3">
        <v>0</v>
      </c>
      <c r="Q919" s="3">
        <v>0</v>
      </c>
      <c r="R919" s="3">
        <f t="shared" si="245"/>
        <v>0</v>
      </c>
      <c r="S919" s="3">
        <v>0</v>
      </c>
      <c r="T919" s="32">
        <v>0</v>
      </c>
      <c r="U919" s="3">
        <v>0</v>
      </c>
      <c r="V919" s="6">
        <f t="shared" si="239"/>
        <v>6600</v>
      </c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/>
      <c r="AK919" s="59"/>
      <c r="AL919" s="59"/>
      <c r="AM919" s="59"/>
      <c r="AN919" s="59"/>
      <c r="AO919" s="59"/>
      <c r="AP919" s="59"/>
      <c r="AQ919" s="59"/>
      <c r="AR919" s="59"/>
      <c r="AS919" s="59"/>
      <c r="AT919" s="59"/>
      <c r="AU919" s="59"/>
      <c r="AV919" s="59"/>
      <c r="AW919" s="59"/>
      <c r="AX919" s="59"/>
      <c r="AY919" s="59"/>
      <c r="AZ919" s="59"/>
      <c r="BA919" s="59"/>
      <c r="BB919" s="59"/>
      <c r="BC919" s="59"/>
      <c r="BD919" s="59"/>
      <c r="BE919" s="59"/>
      <c r="BF919" s="59"/>
      <c r="BG919" s="59"/>
      <c r="BH919" s="59"/>
      <c r="BI919" s="59"/>
      <c r="BJ919" s="59"/>
      <c r="BK919" s="59"/>
      <c r="BL919" s="59"/>
      <c r="BM919" s="59"/>
      <c r="BN919" s="59"/>
      <c r="BO919" s="59"/>
      <c r="BP919" s="59"/>
      <c r="BQ919" s="59"/>
      <c r="BR919" s="59"/>
      <c r="BS919" s="59"/>
      <c r="BT919" s="59"/>
      <c r="BU919" s="59"/>
      <c r="BV919" s="59"/>
      <c r="BW919" s="59"/>
      <c r="BX919" s="59"/>
      <c r="BY919" s="59"/>
      <c r="BZ919" s="59"/>
      <c r="CA919" s="59"/>
      <c r="CB919" s="59"/>
      <c r="CC919" s="59"/>
      <c r="CD919" s="59"/>
      <c r="CE919" s="59"/>
      <c r="CF919" s="59"/>
      <c r="CG919" s="59"/>
      <c r="CH919" s="59"/>
      <c r="CI919" s="59"/>
      <c r="CJ919" s="59"/>
      <c r="CK919" s="59"/>
      <c r="CL919" s="59"/>
      <c r="CM919" s="59"/>
      <c r="CN919" s="59"/>
      <c r="CO919" s="59"/>
      <c r="CP919" s="59"/>
      <c r="CQ919" s="59"/>
      <c r="CR919" s="59"/>
      <c r="CS919" s="59"/>
      <c r="CT919" s="59"/>
      <c r="CU919" s="59"/>
      <c r="CV919" s="59"/>
      <c r="CW919" s="59"/>
      <c r="CX919" s="59"/>
      <c r="CY919" s="59"/>
      <c r="CZ919" s="59"/>
      <c r="DA919" s="59"/>
      <c r="DB919" s="59"/>
      <c r="DC919" s="59"/>
      <c r="DD919" s="59"/>
      <c r="DE919" s="59"/>
      <c r="DF919" s="59"/>
      <c r="DG919" s="59"/>
      <c r="DH919" s="59"/>
      <c r="DI919" s="59"/>
      <c r="DJ919" s="59"/>
      <c r="DK919" s="59"/>
      <c r="DL919" s="59"/>
      <c r="DM919" s="59"/>
      <c r="DN919" s="59"/>
      <c r="DO919" s="59"/>
      <c r="DP919" s="59"/>
      <c r="DQ919" s="59"/>
      <c r="DR919" s="59"/>
      <c r="DS919" s="59"/>
      <c r="DT919" s="59"/>
      <c r="DU919" s="59"/>
      <c r="DV919" s="59"/>
      <c r="DW919" s="59"/>
      <c r="DX919" s="59"/>
      <c r="DY919" s="59"/>
      <c r="DZ919" s="59"/>
      <c r="EA919" s="59"/>
      <c r="EB919" s="59"/>
      <c r="EC919" s="59"/>
      <c r="ED919" s="59"/>
      <c r="EE919" s="59"/>
      <c r="EF919" s="59"/>
      <c r="EG919" s="59"/>
      <c r="EH919" s="59"/>
      <c r="EI919" s="59"/>
      <c r="EJ919" s="59"/>
      <c r="EK919" s="59"/>
      <c r="EL919" s="59"/>
      <c r="EM919" s="59"/>
      <c r="EN919" s="59"/>
      <c r="EO919" s="59"/>
      <c r="EP919" s="59"/>
      <c r="EQ919" s="59"/>
      <c r="ER919" s="59"/>
      <c r="ES919" s="59"/>
      <c r="ET919" s="59"/>
      <c r="EU919" s="59"/>
      <c r="EV919" s="59"/>
      <c r="EW919" s="59"/>
      <c r="EX919" s="59"/>
      <c r="EY919" s="59"/>
      <c r="EZ919" s="59"/>
      <c r="FA919" s="59"/>
      <c r="FB919" s="59"/>
      <c r="FC919" s="59"/>
      <c r="FD919" s="59"/>
      <c r="FE919" s="59"/>
      <c r="FF919" s="59"/>
      <c r="FG919" s="59"/>
      <c r="FH919" s="59"/>
      <c r="FI919" s="59"/>
      <c r="FJ919" s="59"/>
      <c r="FK919" s="59"/>
      <c r="FL919" s="59"/>
      <c r="FM919" s="59"/>
      <c r="FN919" s="59"/>
      <c r="FO919" s="59"/>
      <c r="FP919" s="59"/>
      <c r="FQ919" s="59"/>
      <c r="FR919" s="59"/>
      <c r="FS919" s="59"/>
      <c r="FT919" s="59"/>
      <c r="FU919" s="59"/>
      <c r="FV919" s="59"/>
      <c r="FW919" s="59"/>
      <c r="FX919" s="59"/>
      <c r="FY919" s="59"/>
      <c r="FZ919" s="59"/>
      <c r="GA919" s="59"/>
      <c r="GB919" s="59"/>
      <c r="GC919" s="59"/>
      <c r="GD919" s="59"/>
      <c r="GE919" s="59"/>
      <c r="GF919" s="59"/>
      <c r="GG919" s="59"/>
      <c r="GH919" s="59"/>
      <c r="GI919" s="59"/>
      <c r="GJ919" s="59"/>
      <c r="GK919" s="59"/>
      <c r="GL919" s="59"/>
      <c r="GM919" s="59"/>
      <c r="GN919" s="59"/>
      <c r="GO919" s="59"/>
      <c r="GP919" s="59"/>
      <c r="GQ919" s="59"/>
      <c r="GR919" s="59"/>
      <c r="GS919" s="59"/>
      <c r="GT919" s="59"/>
      <c r="GU919" s="59"/>
      <c r="GV919" s="59"/>
      <c r="GW919" s="59"/>
      <c r="GX919" s="59"/>
      <c r="GY919" s="59"/>
      <c r="GZ919" s="59"/>
      <c r="HA919" s="59"/>
      <c r="HB919" s="59"/>
      <c r="HC919" s="59"/>
      <c r="HD919" s="59"/>
      <c r="HE919" s="59"/>
      <c r="HF919" s="59"/>
      <c r="HG919" s="59"/>
      <c r="HH919" s="59"/>
      <c r="HI919" s="59"/>
      <c r="HJ919" s="59"/>
      <c r="HK919" s="59"/>
      <c r="HL919" s="59"/>
      <c r="HM919" s="59"/>
      <c r="HN919" s="59"/>
      <c r="HO919" s="59"/>
      <c r="HP919" s="59"/>
      <c r="HQ919" s="59"/>
      <c r="HR919" s="59"/>
      <c r="HS919" s="59"/>
      <c r="HT919" s="59"/>
      <c r="HU919" s="59"/>
      <c r="HV919" s="59"/>
      <c r="HW919" s="59"/>
      <c r="HX919" s="59"/>
      <c r="HY919" s="59"/>
      <c r="HZ919" s="59"/>
      <c r="IA919" s="59"/>
      <c r="IB919" s="59"/>
      <c r="IC919" s="59"/>
      <c r="ID919" s="59"/>
      <c r="IE919" s="59"/>
      <c r="IF919" s="59"/>
      <c r="IG919" s="59"/>
      <c r="IH919" s="59"/>
      <c r="II919" s="59"/>
      <c r="IJ919" s="59"/>
      <c r="IK919" s="59"/>
      <c r="IL919" s="59"/>
      <c r="IM919" s="59"/>
      <c r="IN919" s="59"/>
      <c r="IO919" s="59"/>
      <c r="IP919" s="59"/>
      <c r="IQ919" s="59"/>
      <c r="IR919" s="59"/>
      <c r="IS919" s="59"/>
      <c r="IT919" s="59"/>
      <c r="IU919" s="59"/>
      <c r="IV919" s="59"/>
      <c r="IW919" s="59"/>
      <c r="IX919" s="59"/>
    </row>
    <row r="920" spans="1:258" ht="25.2" customHeight="1" x14ac:dyDescent="0.3">
      <c r="A920" s="46" t="s">
        <v>1713</v>
      </c>
      <c r="B920" s="49" t="s">
        <v>663</v>
      </c>
      <c r="C920" s="2">
        <f t="shared" si="237"/>
        <v>1927200</v>
      </c>
      <c r="D920" s="3">
        <f t="shared" si="238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292</v>
      </c>
      <c r="N920" s="3">
        <f t="shared" si="243"/>
        <v>1927200</v>
      </c>
      <c r="O920" s="3">
        <v>0</v>
      </c>
      <c r="P920" s="3">
        <v>0</v>
      </c>
      <c r="Q920" s="3">
        <v>0</v>
      </c>
      <c r="R920" s="3">
        <f t="shared" si="245"/>
        <v>0</v>
      </c>
      <c r="S920" s="3">
        <v>0</v>
      </c>
      <c r="T920" s="32">
        <v>0</v>
      </c>
      <c r="U920" s="3">
        <v>0</v>
      </c>
      <c r="V920" s="6">
        <f t="shared" si="239"/>
        <v>6600</v>
      </c>
    </row>
    <row r="921" spans="1:258" ht="25.2" customHeight="1" x14ac:dyDescent="0.3">
      <c r="A921" s="46" t="s">
        <v>1714</v>
      </c>
      <c r="B921" s="49" t="s">
        <v>385</v>
      </c>
      <c r="C921" s="2">
        <f t="shared" si="237"/>
        <v>357312</v>
      </c>
      <c r="D921" s="3">
        <f t="shared" si="238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0</v>
      </c>
      <c r="N921" s="3">
        <v>0</v>
      </c>
      <c r="O921" s="3">
        <v>297.76</v>
      </c>
      <c r="P921" s="3">
        <f>O921*1200</f>
        <v>357312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6" t="e">
        <f t="shared" si="239"/>
        <v>#DIV/0!</v>
      </c>
    </row>
    <row r="922" spans="1:258" ht="25.2" customHeight="1" x14ac:dyDescent="0.3">
      <c r="A922" s="46" t="s">
        <v>1715</v>
      </c>
      <c r="B922" s="49" t="s">
        <v>374</v>
      </c>
      <c r="C922" s="2">
        <f t="shared" si="237"/>
        <v>6695256.1200000001</v>
      </c>
      <c r="D922" s="3">
        <f t="shared" si="238"/>
        <v>6459240</v>
      </c>
      <c r="E922" s="3">
        <v>0</v>
      </c>
      <c r="F922" s="3">
        <f>1300*3399.6</f>
        <v>4419480</v>
      </c>
      <c r="G922" s="3">
        <f>300*3399.6</f>
        <v>1019880</v>
      </c>
      <c r="H922" s="3">
        <v>0</v>
      </c>
      <c r="I922" s="3">
        <f>300*3399.6</f>
        <v>1019880</v>
      </c>
      <c r="J922" s="3">
        <f>350*0</f>
        <v>0</v>
      </c>
      <c r="K922" s="4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f>Q922*3000</f>
        <v>0</v>
      </c>
      <c r="S922" s="3">
        <v>0</v>
      </c>
      <c r="T922" s="32">
        <v>0</v>
      </c>
      <c r="U922" s="3">
        <v>236016.12</v>
      </c>
      <c r="V922" s="6" t="e">
        <f t="shared" si="239"/>
        <v>#DIV/0!</v>
      </c>
    </row>
    <row r="923" spans="1:258" ht="25.2" customHeight="1" x14ac:dyDescent="0.3">
      <c r="A923" s="46" t="s">
        <v>1716</v>
      </c>
      <c r="B923" s="49" t="s">
        <v>748</v>
      </c>
      <c r="C923" s="2">
        <f t="shared" si="237"/>
        <v>3517800</v>
      </c>
      <c r="D923" s="3">
        <f t="shared" si="238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2">
        <v>533</v>
      </c>
      <c r="N923" s="3">
        <f>M923*6600</f>
        <v>3517800</v>
      </c>
      <c r="O923" s="3">
        <v>0</v>
      </c>
      <c r="P923" s="3">
        <v>0</v>
      </c>
      <c r="Q923" s="3">
        <v>0</v>
      </c>
      <c r="R923" s="3">
        <f t="shared" ref="R923:R929" si="246">Q923*3200</f>
        <v>0</v>
      </c>
      <c r="S923" s="3">
        <v>0</v>
      </c>
      <c r="T923" s="32">
        <v>0</v>
      </c>
      <c r="U923" s="3">
        <v>0</v>
      </c>
      <c r="V923" s="6">
        <f t="shared" si="239"/>
        <v>6600</v>
      </c>
    </row>
    <row r="924" spans="1:258" ht="25.2" customHeight="1" x14ac:dyDescent="0.3">
      <c r="A924" s="46" t="s">
        <v>1717</v>
      </c>
      <c r="B924" s="49" t="s">
        <v>674</v>
      </c>
      <c r="C924" s="2">
        <f t="shared" ref="C924:C987" si="247">D924+L924+N924+P924+R924+S924+T924+U924</f>
        <v>3550800</v>
      </c>
      <c r="D924" s="3">
        <f t="shared" ref="D924:D987" si="248">SUM(E924:J924)</f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538</v>
      </c>
      <c r="N924" s="3">
        <f>M924*6600</f>
        <v>3550800</v>
      </c>
      <c r="O924" s="3">
        <v>0</v>
      </c>
      <c r="P924" s="3">
        <v>0</v>
      </c>
      <c r="Q924" s="3">
        <v>0</v>
      </c>
      <c r="R924" s="3">
        <f t="shared" si="246"/>
        <v>0</v>
      </c>
      <c r="S924" s="3">
        <v>0</v>
      </c>
      <c r="T924" s="32">
        <v>0</v>
      </c>
      <c r="U924" s="3">
        <v>0</v>
      </c>
      <c r="V924" s="6">
        <f t="shared" ref="V924:V987" si="249">N924/M924</f>
        <v>6600</v>
      </c>
    </row>
    <row r="925" spans="1:258" ht="25.2" customHeight="1" x14ac:dyDescent="0.3">
      <c r="A925" s="46" t="s">
        <v>1718</v>
      </c>
      <c r="B925" s="49" t="s">
        <v>675</v>
      </c>
      <c r="C925" s="2">
        <f t="shared" si="247"/>
        <v>3550800</v>
      </c>
      <c r="D925" s="3">
        <f t="shared" si="248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538</v>
      </c>
      <c r="N925" s="3">
        <f>M925*6600</f>
        <v>3550800</v>
      </c>
      <c r="O925" s="3">
        <v>0</v>
      </c>
      <c r="P925" s="3">
        <v>0</v>
      </c>
      <c r="Q925" s="32">
        <v>0</v>
      </c>
      <c r="R925" s="3">
        <f t="shared" si="246"/>
        <v>0</v>
      </c>
      <c r="S925" s="3">
        <v>0</v>
      </c>
      <c r="T925" s="32">
        <v>0</v>
      </c>
      <c r="U925" s="3">
        <v>0</v>
      </c>
      <c r="V925" s="6">
        <f t="shared" si="249"/>
        <v>6600</v>
      </c>
    </row>
    <row r="926" spans="1:258" ht="25.2" customHeight="1" x14ac:dyDescent="0.3">
      <c r="A926" s="46" t="s">
        <v>1719</v>
      </c>
      <c r="B926" s="49" t="s">
        <v>927</v>
      </c>
      <c r="C926" s="2">
        <f t="shared" si="247"/>
        <v>36563525.770000003</v>
      </c>
      <c r="D926" s="3">
        <f t="shared" si="248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11308</v>
      </c>
      <c r="R926" s="3">
        <f t="shared" si="246"/>
        <v>36185600</v>
      </c>
      <c r="S926" s="3">
        <v>0</v>
      </c>
      <c r="T926" s="32">
        <v>0</v>
      </c>
      <c r="U926" s="3">
        <v>377925.77</v>
      </c>
      <c r="V926" s="6" t="e">
        <f t="shared" si="249"/>
        <v>#DIV/0!</v>
      </c>
    </row>
    <row r="927" spans="1:258" ht="25.2" customHeight="1" x14ac:dyDescent="0.3">
      <c r="A927" s="46" t="s">
        <v>1720</v>
      </c>
      <c r="B927" s="49" t="s">
        <v>570</v>
      </c>
      <c r="C927" s="2">
        <f t="shared" si="247"/>
        <v>6973400</v>
      </c>
      <c r="D927" s="3">
        <f t="shared" si="248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3">
        <v>0</v>
      </c>
      <c r="L927" s="32">
        <v>0</v>
      </c>
      <c r="M927" s="32">
        <v>659</v>
      </c>
      <c r="N927" s="3">
        <f>M927*6600</f>
        <v>4349400</v>
      </c>
      <c r="O927" s="32">
        <v>0</v>
      </c>
      <c r="P927" s="32">
        <v>0</v>
      </c>
      <c r="Q927" s="32">
        <v>820</v>
      </c>
      <c r="R927" s="3">
        <f t="shared" si="246"/>
        <v>2624000</v>
      </c>
      <c r="S927" s="32">
        <v>0</v>
      </c>
      <c r="T927" s="32">
        <v>0</v>
      </c>
      <c r="U927" s="32">
        <v>0</v>
      </c>
      <c r="V927" s="6">
        <f t="shared" si="249"/>
        <v>6600</v>
      </c>
    </row>
    <row r="928" spans="1:258" ht="25.2" customHeight="1" x14ac:dyDescent="0.3">
      <c r="A928" s="46" t="s">
        <v>1721</v>
      </c>
      <c r="B928" s="49" t="s">
        <v>676</v>
      </c>
      <c r="C928" s="2">
        <f t="shared" si="247"/>
        <v>3435960</v>
      </c>
      <c r="D928" s="3">
        <f t="shared" si="248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520.6</v>
      </c>
      <c r="N928" s="3">
        <f>M928*6600</f>
        <v>3435960</v>
      </c>
      <c r="O928" s="3">
        <v>0</v>
      </c>
      <c r="P928" s="3">
        <v>0</v>
      </c>
      <c r="Q928" s="32">
        <v>0</v>
      </c>
      <c r="R928" s="3">
        <f t="shared" si="246"/>
        <v>0</v>
      </c>
      <c r="S928" s="3">
        <v>0</v>
      </c>
      <c r="T928" s="32">
        <v>0</v>
      </c>
      <c r="U928" s="3">
        <v>0</v>
      </c>
      <c r="V928" s="6">
        <f t="shared" si="249"/>
        <v>6600</v>
      </c>
    </row>
    <row r="929" spans="1:258" ht="25.2" customHeight="1" x14ac:dyDescent="0.3">
      <c r="A929" s="46" t="s">
        <v>1722</v>
      </c>
      <c r="B929" s="49" t="s">
        <v>677</v>
      </c>
      <c r="C929" s="2">
        <f t="shared" si="247"/>
        <v>1933800</v>
      </c>
      <c r="D929" s="3">
        <f t="shared" si="248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3">
        <v>293</v>
      </c>
      <c r="N929" s="3">
        <f>M929*6600</f>
        <v>1933800</v>
      </c>
      <c r="O929" s="3">
        <v>0</v>
      </c>
      <c r="P929" s="3">
        <v>0</v>
      </c>
      <c r="Q929" s="32">
        <v>0</v>
      </c>
      <c r="R929" s="3">
        <f t="shared" si="246"/>
        <v>0</v>
      </c>
      <c r="S929" s="3">
        <v>0</v>
      </c>
      <c r="T929" s="32">
        <v>0</v>
      </c>
      <c r="U929" s="3">
        <v>0</v>
      </c>
      <c r="V929" s="6">
        <f t="shared" si="249"/>
        <v>6600</v>
      </c>
    </row>
    <row r="930" spans="1:258" ht="25.2" customHeight="1" x14ac:dyDescent="0.3">
      <c r="A930" s="46" t="s">
        <v>1723</v>
      </c>
      <c r="B930" s="54" t="s">
        <v>787</v>
      </c>
      <c r="C930" s="2">
        <f t="shared" si="247"/>
        <v>300000</v>
      </c>
      <c r="D930" s="3">
        <f t="shared" si="248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4">
        <v>0</v>
      </c>
      <c r="L930" s="3">
        <v>0</v>
      </c>
      <c r="M930" s="32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2">
        <v>0</v>
      </c>
      <c r="U930" s="3">
        <v>300000</v>
      </c>
      <c r="V930" s="6" t="e">
        <f t="shared" si="249"/>
        <v>#DIV/0!</v>
      </c>
    </row>
    <row r="931" spans="1:258" ht="25.2" customHeight="1" x14ac:dyDescent="0.3">
      <c r="A931" s="46" t="s">
        <v>1724</v>
      </c>
      <c r="B931" s="49" t="s">
        <v>577</v>
      </c>
      <c r="C931" s="2">
        <f t="shared" si="247"/>
        <v>1611500</v>
      </c>
      <c r="D931" s="3">
        <f t="shared" si="248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3">
        <v>0</v>
      </c>
      <c r="L931" s="32">
        <v>0</v>
      </c>
      <c r="M931" s="32">
        <v>293</v>
      </c>
      <c r="N931" s="3">
        <f>M931*5500</f>
        <v>1611500</v>
      </c>
      <c r="O931" s="32">
        <v>0</v>
      </c>
      <c r="P931" s="32">
        <v>0</v>
      </c>
      <c r="Q931" s="32">
        <v>0</v>
      </c>
      <c r="R931" s="3">
        <v>0</v>
      </c>
      <c r="S931" s="32">
        <v>0</v>
      </c>
      <c r="T931" s="32">
        <v>0</v>
      </c>
      <c r="U931" s="32">
        <v>0</v>
      </c>
      <c r="V931" s="6">
        <f t="shared" si="249"/>
        <v>5500</v>
      </c>
    </row>
    <row r="932" spans="1:258" ht="25.2" customHeight="1" x14ac:dyDescent="0.3">
      <c r="A932" s="46" t="s">
        <v>1725</v>
      </c>
      <c r="B932" s="49" t="s">
        <v>501</v>
      </c>
      <c r="C932" s="2">
        <f t="shared" si="247"/>
        <v>3432000</v>
      </c>
      <c r="D932" s="3">
        <f t="shared" si="248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3">
        <v>0</v>
      </c>
      <c r="L932" s="32">
        <v>0</v>
      </c>
      <c r="M932" s="32">
        <v>520</v>
      </c>
      <c r="N932" s="3">
        <f t="shared" ref="N932:N944" si="250">M932*6600</f>
        <v>3432000</v>
      </c>
      <c r="O932" s="32">
        <v>0</v>
      </c>
      <c r="P932" s="32">
        <v>0</v>
      </c>
      <c r="Q932" s="32">
        <v>0</v>
      </c>
      <c r="R932" s="3">
        <f>Q932*3200</f>
        <v>0</v>
      </c>
      <c r="S932" s="32">
        <v>0</v>
      </c>
      <c r="T932" s="32">
        <v>0</v>
      </c>
      <c r="U932" s="32">
        <v>0</v>
      </c>
      <c r="V932" s="6">
        <f t="shared" si="249"/>
        <v>6600</v>
      </c>
    </row>
    <row r="933" spans="1:258" ht="25.2" customHeight="1" x14ac:dyDescent="0.3">
      <c r="A933" s="46" t="s">
        <v>1726</v>
      </c>
      <c r="B933" s="49" t="s">
        <v>502</v>
      </c>
      <c r="C933" s="2">
        <f t="shared" si="247"/>
        <v>5148000</v>
      </c>
      <c r="D933" s="3">
        <f t="shared" si="248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3">
        <v>0</v>
      </c>
      <c r="L933" s="32">
        <v>0</v>
      </c>
      <c r="M933" s="32">
        <v>780</v>
      </c>
      <c r="N933" s="3">
        <f t="shared" si="250"/>
        <v>5148000</v>
      </c>
      <c r="O933" s="32">
        <v>0</v>
      </c>
      <c r="P933" s="32">
        <v>0</v>
      </c>
      <c r="Q933" s="32">
        <v>0</v>
      </c>
      <c r="R933" s="3">
        <f>Q933*3000</f>
        <v>0</v>
      </c>
      <c r="S933" s="32">
        <v>0</v>
      </c>
      <c r="T933" s="32">
        <v>0</v>
      </c>
      <c r="U933" s="32">
        <v>0</v>
      </c>
      <c r="V933" s="6">
        <f t="shared" si="249"/>
        <v>6600</v>
      </c>
    </row>
    <row r="934" spans="1:258" ht="25.2" customHeight="1" x14ac:dyDescent="0.3">
      <c r="A934" s="46" t="s">
        <v>1727</v>
      </c>
      <c r="B934" s="49" t="s">
        <v>750</v>
      </c>
      <c r="C934" s="2">
        <f t="shared" si="247"/>
        <v>2079000</v>
      </c>
      <c r="D934" s="3">
        <f t="shared" si="248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315</v>
      </c>
      <c r="N934" s="3">
        <f t="shared" si="250"/>
        <v>2079000</v>
      </c>
      <c r="O934" s="3">
        <v>0</v>
      </c>
      <c r="P934" s="3">
        <v>0</v>
      </c>
      <c r="Q934" s="32">
        <v>0</v>
      </c>
      <c r="R934" s="3">
        <f t="shared" ref="R934:R944" si="251">Q934*3200</f>
        <v>0</v>
      </c>
      <c r="S934" s="3">
        <v>0</v>
      </c>
      <c r="T934" s="32">
        <v>0</v>
      </c>
      <c r="U934" s="3">
        <v>0</v>
      </c>
      <c r="V934" s="6">
        <f t="shared" si="249"/>
        <v>6600</v>
      </c>
    </row>
    <row r="935" spans="1:258" ht="25.2" customHeight="1" x14ac:dyDescent="0.3">
      <c r="A935" s="46" t="s">
        <v>1728</v>
      </c>
      <c r="B935" s="49" t="s">
        <v>751</v>
      </c>
      <c r="C935" s="2">
        <f t="shared" si="247"/>
        <v>1768800</v>
      </c>
      <c r="D935" s="3">
        <f t="shared" si="248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3">
        <v>268</v>
      </c>
      <c r="N935" s="3">
        <f t="shared" si="250"/>
        <v>1768800</v>
      </c>
      <c r="O935" s="3">
        <v>0</v>
      </c>
      <c r="P935" s="3">
        <v>0</v>
      </c>
      <c r="Q935" s="32">
        <v>0</v>
      </c>
      <c r="R935" s="3">
        <f t="shared" si="251"/>
        <v>0</v>
      </c>
      <c r="S935" s="3">
        <v>0</v>
      </c>
      <c r="T935" s="32">
        <v>0</v>
      </c>
      <c r="U935" s="3">
        <v>0</v>
      </c>
      <c r="V935" s="6">
        <f t="shared" si="249"/>
        <v>6600</v>
      </c>
    </row>
    <row r="936" spans="1:258" ht="25.2" customHeight="1" x14ac:dyDescent="0.3">
      <c r="A936" s="46" t="s">
        <v>1729</v>
      </c>
      <c r="B936" s="49" t="s">
        <v>752</v>
      </c>
      <c r="C936" s="2">
        <f t="shared" si="247"/>
        <v>27351800</v>
      </c>
      <c r="D936" s="3">
        <f t="shared" si="248"/>
        <v>23260200</v>
      </c>
      <c r="E936" s="3">
        <f>700*7753.4</f>
        <v>5427380</v>
      </c>
      <c r="F936" s="3">
        <f>1300*7753.4</f>
        <v>10079420</v>
      </c>
      <c r="G936" s="3">
        <f>300*7753.4</f>
        <v>2326020</v>
      </c>
      <c r="H936" s="3">
        <f>400*7753.4</f>
        <v>3101360</v>
      </c>
      <c r="I936" s="3">
        <f>300*7753.4</f>
        <v>2326020</v>
      </c>
      <c r="J936" s="3">
        <v>0</v>
      </c>
      <c r="K936" s="4">
        <v>0</v>
      </c>
      <c r="L936" s="3">
        <v>0</v>
      </c>
      <c r="M936" s="3">
        <v>438</v>
      </c>
      <c r="N936" s="3">
        <f t="shared" si="250"/>
        <v>2890800</v>
      </c>
      <c r="O936" s="3">
        <v>0</v>
      </c>
      <c r="P936" s="3">
        <v>0</v>
      </c>
      <c r="Q936" s="3">
        <v>344</v>
      </c>
      <c r="R936" s="3">
        <f t="shared" si="251"/>
        <v>1100800</v>
      </c>
      <c r="S936" s="3">
        <v>0</v>
      </c>
      <c r="T936" s="32">
        <v>0</v>
      </c>
      <c r="U936" s="3">
        <v>100000</v>
      </c>
      <c r="V936" s="6">
        <f t="shared" si="249"/>
        <v>6600</v>
      </c>
    </row>
    <row r="937" spans="1:258" ht="25.2" customHeight="1" x14ac:dyDescent="0.3">
      <c r="A937" s="46" t="s">
        <v>1730</v>
      </c>
      <c r="B937" s="49" t="s">
        <v>1184</v>
      </c>
      <c r="C937" s="2">
        <f t="shared" si="247"/>
        <v>300000</v>
      </c>
      <c r="D937" s="3">
        <f t="shared" si="248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4">
        <v>0</v>
      </c>
      <c r="L937" s="3">
        <v>0</v>
      </c>
      <c r="M937" s="3">
        <v>0</v>
      </c>
      <c r="N937" s="3">
        <f t="shared" si="250"/>
        <v>0</v>
      </c>
      <c r="O937" s="3">
        <v>0</v>
      </c>
      <c r="P937" s="3">
        <v>0</v>
      </c>
      <c r="Q937" s="32">
        <v>0</v>
      </c>
      <c r="R937" s="3">
        <f t="shared" si="251"/>
        <v>0</v>
      </c>
      <c r="S937" s="3">
        <v>0</v>
      </c>
      <c r="T937" s="32">
        <v>0</v>
      </c>
      <c r="U937" s="3">
        <v>300000</v>
      </c>
      <c r="V937" s="6" t="e">
        <f t="shared" si="249"/>
        <v>#DIV/0!</v>
      </c>
    </row>
    <row r="938" spans="1:258" ht="25.2" customHeight="1" x14ac:dyDescent="0.3">
      <c r="A938" s="46" t="s">
        <v>1731</v>
      </c>
      <c r="B938" s="49" t="s">
        <v>505</v>
      </c>
      <c r="C938" s="2">
        <f t="shared" si="247"/>
        <v>3432000</v>
      </c>
      <c r="D938" s="3">
        <f t="shared" si="248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3">
        <v>0</v>
      </c>
      <c r="L938" s="32">
        <v>0</v>
      </c>
      <c r="M938" s="32">
        <v>520</v>
      </c>
      <c r="N938" s="3">
        <f t="shared" si="250"/>
        <v>3432000</v>
      </c>
      <c r="O938" s="32">
        <v>0</v>
      </c>
      <c r="P938" s="32">
        <v>0</v>
      </c>
      <c r="Q938" s="32">
        <v>0</v>
      </c>
      <c r="R938" s="3">
        <f t="shared" si="251"/>
        <v>0</v>
      </c>
      <c r="S938" s="32">
        <v>0</v>
      </c>
      <c r="T938" s="32">
        <v>0</v>
      </c>
      <c r="U938" s="32">
        <v>0</v>
      </c>
      <c r="V938" s="6">
        <f t="shared" si="249"/>
        <v>6600</v>
      </c>
    </row>
    <row r="939" spans="1:258" ht="25.2" customHeight="1" x14ac:dyDescent="0.3">
      <c r="A939" s="46" t="s">
        <v>1732</v>
      </c>
      <c r="B939" s="54" t="s">
        <v>753</v>
      </c>
      <c r="C939" s="2">
        <f t="shared" si="247"/>
        <v>3579179.9999999995</v>
      </c>
      <c r="D939" s="3">
        <f t="shared" si="248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4">
        <v>0</v>
      </c>
      <c r="L939" s="3">
        <v>0</v>
      </c>
      <c r="M939" s="3">
        <v>542.29999999999995</v>
      </c>
      <c r="N939" s="3">
        <f t="shared" si="250"/>
        <v>3579179.9999999995</v>
      </c>
      <c r="O939" s="3">
        <v>0</v>
      </c>
      <c r="P939" s="3">
        <v>0</v>
      </c>
      <c r="Q939" s="32">
        <v>0</v>
      </c>
      <c r="R939" s="3">
        <f t="shared" si="251"/>
        <v>0</v>
      </c>
      <c r="S939" s="3">
        <v>0</v>
      </c>
      <c r="T939" s="32">
        <v>0</v>
      </c>
      <c r="U939" s="3">
        <v>0</v>
      </c>
      <c r="V939" s="6">
        <f t="shared" si="249"/>
        <v>6600</v>
      </c>
    </row>
    <row r="940" spans="1:258" ht="25.2" customHeight="1" x14ac:dyDescent="0.3">
      <c r="A940" s="46" t="s">
        <v>1733</v>
      </c>
      <c r="B940" s="49" t="s">
        <v>678</v>
      </c>
      <c r="C940" s="2">
        <f t="shared" si="247"/>
        <v>5766100</v>
      </c>
      <c r="D940" s="3">
        <f t="shared" si="248"/>
        <v>5666100</v>
      </c>
      <c r="E940" s="3">
        <f>700*1888.7</f>
        <v>1322090</v>
      </c>
      <c r="F940" s="3">
        <f>1300*1888.7</f>
        <v>2455310</v>
      </c>
      <c r="G940" s="3">
        <f>300*1888.7</f>
        <v>566610</v>
      </c>
      <c r="H940" s="3">
        <f>400*1888.7</f>
        <v>755480</v>
      </c>
      <c r="I940" s="3">
        <f>300*1888.7</f>
        <v>566610</v>
      </c>
      <c r="J940" s="3">
        <v>0</v>
      </c>
      <c r="K940" s="4">
        <v>0</v>
      </c>
      <c r="L940" s="3">
        <v>0</v>
      </c>
      <c r="M940" s="3">
        <v>0</v>
      </c>
      <c r="N940" s="3">
        <f t="shared" si="250"/>
        <v>0</v>
      </c>
      <c r="O940" s="3">
        <v>0</v>
      </c>
      <c r="P940" s="3">
        <v>0</v>
      </c>
      <c r="Q940" s="32">
        <v>0</v>
      </c>
      <c r="R940" s="3">
        <f t="shared" si="251"/>
        <v>0</v>
      </c>
      <c r="S940" s="3">
        <v>0</v>
      </c>
      <c r="T940" s="32">
        <v>0</v>
      </c>
      <c r="U940" s="3">
        <v>100000</v>
      </c>
      <c r="V940" s="6" t="e">
        <f t="shared" si="249"/>
        <v>#DIV/0!</v>
      </c>
    </row>
    <row r="941" spans="1:258" ht="25.2" customHeight="1" x14ac:dyDescent="0.3">
      <c r="A941" s="46" t="s">
        <v>1734</v>
      </c>
      <c r="B941" s="49" t="s">
        <v>754</v>
      </c>
      <c r="C941" s="2">
        <f t="shared" si="247"/>
        <v>3768600</v>
      </c>
      <c r="D941" s="3">
        <f t="shared" si="248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571</v>
      </c>
      <c r="N941" s="3">
        <f t="shared" si="250"/>
        <v>3768600</v>
      </c>
      <c r="O941" s="3">
        <v>0</v>
      </c>
      <c r="P941" s="3">
        <v>0</v>
      </c>
      <c r="Q941" s="32">
        <v>0</v>
      </c>
      <c r="R941" s="3">
        <f t="shared" si="251"/>
        <v>0</v>
      </c>
      <c r="S941" s="3">
        <v>0</v>
      </c>
      <c r="T941" s="32">
        <v>0</v>
      </c>
      <c r="U941" s="3">
        <v>0</v>
      </c>
      <c r="V941" s="6">
        <f t="shared" si="249"/>
        <v>6600</v>
      </c>
    </row>
    <row r="942" spans="1:258" s="71" customFormat="1" ht="25.2" customHeight="1" x14ac:dyDescent="0.3">
      <c r="A942" s="46" t="s">
        <v>1735</v>
      </c>
      <c r="B942" s="49" t="s">
        <v>679</v>
      </c>
      <c r="C942" s="2">
        <f t="shared" si="247"/>
        <v>3292740</v>
      </c>
      <c r="D942" s="3">
        <f t="shared" si="248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3">
        <v>498.9</v>
      </c>
      <c r="N942" s="3">
        <f t="shared" si="250"/>
        <v>3292740</v>
      </c>
      <c r="O942" s="3">
        <v>0</v>
      </c>
      <c r="P942" s="3">
        <v>0</v>
      </c>
      <c r="Q942" s="32">
        <v>0</v>
      </c>
      <c r="R942" s="3">
        <f t="shared" si="251"/>
        <v>0</v>
      </c>
      <c r="S942" s="3">
        <v>0</v>
      </c>
      <c r="T942" s="32">
        <v>0</v>
      </c>
      <c r="U942" s="3">
        <v>0</v>
      </c>
      <c r="V942" s="6">
        <f t="shared" si="249"/>
        <v>6600</v>
      </c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  <c r="GT942" s="7"/>
      <c r="GU942" s="7"/>
      <c r="GV942" s="7"/>
      <c r="GW942" s="7"/>
      <c r="GX942" s="7"/>
      <c r="GY942" s="7"/>
      <c r="GZ942" s="7"/>
      <c r="HA942" s="7"/>
      <c r="HB942" s="7"/>
      <c r="HC942" s="7"/>
      <c r="HD942" s="7"/>
      <c r="HE942" s="7"/>
      <c r="HF942" s="7"/>
      <c r="HG942" s="7"/>
      <c r="HH942" s="7"/>
      <c r="HI942" s="7"/>
      <c r="HJ942" s="7"/>
      <c r="HK942" s="7"/>
      <c r="HL942" s="7"/>
      <c r="HM942" s="7"/>
      <c r="HN942" s="7"/>
      <c r="HO942" s="7"/>
      <c r="HP942" s="7"/>
      <c r="HQ942" s="7"/>
      <c r="HR942" s="7"/>
      <c r="HS942" s="7"/>
      <c r="HT942" s="7"/>
      <c r="HU942" s="7"/>
      <c r="HV942" s="7"/>
      <c r="HW942" s="7"/>
      <c r="HX942" s="7"/>
      <c r="HY942" s="7"/>
      <c r="HZ942" s="7"/>
      <c r="IA942" s="7"/>
      <c r="IB942" s="7"/>
      <c r="IC942" s="7"/>
      <c r="ID942" s="7"/>
      <c r="IE942" s="7"/>
      <c r="IF942" s="7"/>
      <c r="IG942" s="7"/>
      <c r="IH942" s="7"/>
      <c r="II942" s="7"/>
      <c r="IJ942" s="7"/>
      <c r="IK942" s="7"/>
      <c r="IL942" s="7"/>
      <c r="IM942" s="7"/>
      <c r="IN942" s="7"/>
      <c r="IO942" s="7"/>
      <c r="IP942" s="7"/>
      <c r="IQ942" s="7"/>
      <c r="IR942" s="7"/>
      <c r="IS942" s="7"/>
      <c r="IT942" s="7"/>
      <c r="IU942" s="7"/>
      <c r="IV942" s="7"/>
      <c r="IW942" s="7"/>
      <c r="IX942" s="7"/>
    </row>
    <row r="943" spans="1:258" ht="25.2" customHeight="1" x14ac:dyDescent="0.3">
      <c r="A943" s="46" t="s">
        <v>1736</v>
      </c>
      <c r="B943" s="49" t="s">
        <v>680</v>
      </c>
      <c r="C943" s="2">
        <f t="shared" si="247"/>
        <v>3292740</v>
      </c>
      <c r="D943" s="3">
        <f t="shared" si="248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498.9</v>
      </c>
      <c r="N943" s="3">
        <f t="shared" si="250"/>
        <v>3292740</v>
      </c>
      <c r="O943" s="3">
        <v>0</v>
      </c>
      <c r="P943" s="3">
        <v>0</v>
      </c>
      <c r="Q943" s="32">
        <v>0</v>
      </c>
      <c r="R943" s="3">
        <f t="shared" si="251"/>
        <v>0</v>
      </c>
      <c r="S943" s="3">
        <v>0</v>
      </c>
      <c r="T943" s="32">
        <v>0</v>
      </c>
      <c r="U943" s="3">
        <v>0</v>
      </c>
      <c r="V943" s="6">
        <f t="shared" si="249"/>
        <v>6600</v>
      </c>
    </row>
    <row r="944" spans="1:258" ht="25.2" customHeight="1" x14ac:dyDescent="0.3">
      <c r="A944" s="46" t="s">
        <v>1737</v>
      </c>
      <c r="B944" s="49" t="s">
        <v>755</v>
      </c>
      <c r="C944" s="2">
        <f t="shared" si="247"/>
        <v>4133579.9999999995</v>
      </c>
      <c r="D944" s="3">
        <f t="shared" si="248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3">
        <v>626.29999999999995</v>
      </c>
      <c r="N944" s="3">
        <f t="shared" si="250"/>
        <v>4133579.9999999995</v>
      </c>
      <c r="O944" s="3">
        <v>0</v>
      </c>
      <c r="P944" s="3">
        <v>0</v>
      </c>
      <c r="Q944" s="32">
        <v>0</v>
      </c>
      <c r="R944" s="3">
        <f t="shared" si="251"/>
        <v>0</v>
      </c>
      <c r="S944" s="3">
        <v>0</v>
      </c>
      <c r="T944" s="32">
        <v>0</v>
      </c>
      <c r="U944" s="3">
        <v>0</v>
      </c>
      <c r="V944" s="6">
        <f t="shared" si="249"/>
        <v>6600</v>
      </c>
    </row>
    <row r="945" spans="1:258" ht="25.2" customHeight="1" x14ac:dyDescent="0.3">
      <c r="A945" s="46" t="s">
        <v>1738</v>
      </c>
      <c r="B945" s="49" t="s">
        <v>579</v>
      </c>
      <c r="C945" s="2">
        <f t="shared" si="247"/>
        <v>2968840</v>
      </c>
      <c r="D945" s="3">
        <f t="shared" si="248"/>
        <v>2968840</v>
      </c>
      <c r="E945" s="3">
        <v>0</v>
      </c>
      <c r="F945" s="3">
        <f>1300*1290.8</f>
        <v>1678040</v>
      </c>
      <c r="G945" s="3">
        <f>300*1290.8</f>
        <v>387240</v>
      </c>
      <c r="H945" s="3">
        <f>400*1290.8</f>
        <v>516320</v>
      </c>
      <c r="I945" s="3">
        <f>300*1290.8</f>
        <v>387240</v>
      </c>
      <c r="J945" s="3">
        <f>350*0</f>
        <v>0</v>
      </c>
      <c r="K945" s="33">
        <v>0</v>
      </c>
      <c r="L945" s="32">
        <v>0</v>
      </c>
      <c r="M945" s="32">
        <v>0</v>
      </c>
      <c r="N945" s="32">
        <v>0</v>
      </c>
      <c r="O945" s="32">
        <v>0</v>
      </c>
      <c r="P945" s="32">
        <v>0</v>
      </c>
      <c r="Q945" s="32">
        <v>0</v>
      </c>
      <c r="R945" s="3">
        <f>Q945*3000</f>
        <v>0</v>
      </c>
      <c r="S945" s="32">
        <v>0</v>
      </c>
      <c r="T945" s="32">
        <v>0</v>
      </c>
      <c r="U945" s="32">
        <v>0</v>
      </c>
      <c r="V945" s="6" t="e">
        <f t="shared" si="249"/>
        <v>#DIV/0!</v>
      </c>
    </row>
    <row r="946" spans="1:258" ht="25.2" customHeight="1" x14ac:dyDescent="0.3">
      <c r="A946" s="46" t="s">
        <v>1739</v>
      </c>
      <c r="B946" s="54" t="s">
        <v>757</v>
      </c>
      <c r="C946" s="2">
        <f t="shared" si="247"/>
        <v>4045800</v>
      </c>
      <c r="D946" s="3">
        <f t="shared" si="248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2">
        <v>613</v>
      </c>
      <c r="N946" s="3">
        <f t="shared" ref="N946:N964" si="252">M946*6600</f>
        <v>4045800</v>
      </c>
      <c r="O946" s="3">
        <v>0</v>
      </c>
      <c r="P946" s="3">
        <v>0</v>
      </c>
      <c r="Q946" s="32">
        <v>0</v>
      </c>
      <c r="R946" s="3">
        <f>Q946*3200</f>
        <v>0</v>
      </c>
      <c r="S946" s="3">
        <v>0</v>
      </c>
      <c r="T946" s="32">
        <v>0</v>
      </c>
      <c r="U946" s="3">
        <v>0</v>
      </c>
      <c r="V946" s="6">
        <f t="shared" si="249"/>
        <v>6600</v>
      </c>
    </row>
    <row r="947" spans="1:258" ht="25.2" customHeight="1" x14ac:dyDescent="0.3">
      <c r="A947" s="46" t="s">
        <v>1740</v>
      </c>
      <c r="B947" s="54" t="s">
        <v>509</v>
      </c>
      <c r="C947" s="2">
        <f t="shared" si="247"/>
        <v>1795200</v>
      </c>
      <c r="D947" s="3">
        <f t="shared" si="248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3">
        <v>0</v>
      </c>
      <c r="L947" s="32">
        <v>0</v>
      </c>
      <c r="M947" s="32">
        <v>272</v>
      </c>
      <c r="N947" s="3">
        <f t="shared" si="252"/>
        <v>1795200</v>
      </c>
      <c r="O947" s="32">
        <v>0</v>
      </c>
      <c r="P947" s="32">
        <v>0</v>
      </c>
      <c r="Q947" s="32">
        <v>0</v>
      </c>
      <c r="R947" s="3">
        <f>Q947*3200</f>
        <v>0</v>
      </c>
      <c r="S947" s="32">
        <v>0</v>
      </c>
      <c r="T947" s="32">
        <v>0</v>
      </c>
      <c r="U947" s="32">
        <v>0</v>
      </c>
      <c r="V947" s="6">
        <f t="shared" si="249"/>
        <v>6600</v>
      </c>
    </row>
    <row r="948" spans="1:258" ht="25.2" customHeight="1" x14ac:dyDescent="0.3">
      <c r="A948" s="46" t="s">
        <v>1741</v>
      </c>
      <c r="B948" s="54" t="s">
        <v>756</v>
      </c>
      <c r="C948" s="2">
        <f t="shared" si="247"/>
        <v>4052400</v>
      </c>
      <c r="D948" s="3">
        <f t="shared" si="248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2">
        <v>614</v>
      </c>
      <c r="N948" s="3">
        <f t="shared" si="252"/>
        <v>4052400</v>
      </c>
      <c r="O948" s="3">
        <v>0</v>
      </c>
      <c r="P948" s="3">
        <v>0</v>
      </c>
      <c r="Q948" s="32">
        <v>0</v>
      </c>
      <c r="R948" s="3">
        <f>Q948*3200</f>
        <v>0</v>
      </c>
      <c r="S948" s="3">
        <v>0</v>
      </c>
      <c r="T948" s="32">
        <v>0</v>
      </c>
      <c r="U948" s="3">
        <v>0</v>
      </c>
      <c r="V948" s="6">
        <f t="shared" si="249"/>
        <v>6600</v>
      </c>
    </row>
    <row r="949" spans="1:258" ht="24.6" customHeight="1" x14ac:dyDescent="0.3">
      <c r="A949" s="46" t="s">
        <v>1742</v>
      </c>
      <c r="B949" s="55" t="s">
        <v>816</v>
      </c>
      <c r="C949" s="2">
        <f t="shared" si="247"/>
        <v>15198000</v>
      </c>
      <c r="D949" s="3">
        <f t="shared" si="248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1110</v>
      </c>
      <c r="N949" s="3">
        <f t="shared" si="252"/>
        <v>7326000</v>
      </c>
      <c r="O949" s="3">
        <v>0</v>
      </c>
      <c r="P949" s="3">
        <v>0</v>
      </c>
      <c r="Q949" s="3">
        <v>2460</v>
      </c>
      <c r="R949" s="3">
        <f>Q949*3200</f>
        <v>7872000</v>
      </c>
      <c r="S949" s="3">
        <v>0</v>
      </c>
      <c r="T949" s="32">
        <v>0</v>
      </c>
      <c r="U949" s="3">
        <v>0</v>
      </c>
      <c r="V949" s="6">
        <f t="shared" si="249"/>
        <v>6600</v>
      </c>
    </row>
    <row r="950" spans="1:258" ht="25.2" customHeight="1" x14ac:dyDescent="0.3">
      <c r="A950" s="46" t="s">
        <v>1743</v>
      </c>
      <c r="B950" s="55" t="s">
        <v>1199</v>
      </c>
      <c r="C950" s="2">
        <f t="shared" si="247"/>
        <v>8132374</v>
      </c>
      <c r="D950" s="3">
        <f t="shared" si="248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553.39</v>
      </c>
      <c r="N950" s="3">
        <f t="shared" si="252"/>
        <v>3652374</v>
      </c>
      <c r="O950" s="3">
        <v>0</v>
      </c>
      <c r="P950" s="3">
        <v>0</v>
      </c>
      <c r="Q950" s="3">
        <v>1400</v>
      </c>
      <c r="R950" s="32">
        <f>Q950*3200</f>
        <v>4480000</v>
      </c>
      <c r="S950" s="3">
        <v>0</v>
      </c>
      <c r="T950" s="3">
        <v>0</v>
      </c>
      <c r="U950" s="3">
        <v>0</v>
      </c>
      <c r="V950" s="6">
        <f t="shared" si="249"/>
        <v>6600</v>
      </c>
    </row>
    <row r="951" spans="1:258" ht="25.2" customHeight="1" x14ac:dyDescent="0.3">
      <c r="A951" s="46" t="s">
        <v>1812</v>
      </c>
      <c r="B951" s="49" t="s">
        <v>510</v>
      </c>
      <c r="C951" s="2">
        <f t="shared" si="247"/>
        <v>4111180</v>
      </c>
      <c r="D951" s="3">
        <f t="shared" si="248"/>
        <v>449820</v>
      </c>
      <c r="E951" s="3">
        <f>700*642.6</f>
        <v>449820</v>
      </c>
      <c r="F951" s="3">
        <v>0</v>
      </c>
      <c r="G951" s="3">
        <v>0</v>
      </c>
      <c r="H951" s="3">
        <v>0</v>
      </c>
      <c r="I951" s="3">
        <v>0</v>
      </c>
      <c r="J951" s="3">
        <f>350*0</f>
        <v>0</v>
      </c>
      <c r="K951" s="33">
        <v>0</v>
      </c>
      <c r="L951" s="32">
        <v>0</v>
      </c>
      <c r="M951" s="32">
        <v>539.6</v>
      </c>
      <c r="N951" s="3">
        <f t="shared" si="252"/>
        <v>3561360</v>
      </c>
      <c r="O951" s="32">
        <v>0</v>
      </c>
      <c r="P951" s="32">
        <v>0</v>
      </c>
      <c r="Q951" s="32">
        <v>0</v>
      </c>
      <c r="R951" s="3">
        <f>Q951*3000</f>
        <v>0</v>
      </c>
      <c r="S951" s="32">
        <v>0</v>
      </c>
      <c r="T951" s="32">
        <v>0</v>
      </c>
      <c r="U951" s="32">
        <v>100000</v>
      </c>
      <c r="V951" s="6">
        <f t="shared" si="249"/>
        <v>6600</v>
      </c>
    </row>
    <row r="952" spans="1:258" ht="25.2" customHeight="1" x14ac:dyDescent="0.3">
      <c r="A952" s="46" t="s">
        <v>1813</v>
      </c>
      <c r="B952" s="49" t="s">
        <v>681</v>
      </c>
      <c r="C952" s="2">
        <f t="shared" si="247"/>
        <v>1854600</v>
      </c>
      <c r="D952" s="3">
        <f t="shared" si="248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281</v>
      </c>
      <c r="N952" s="3">
        <f t="shared" si="252"/>
        <v>1854600</v>
      </c>
      <c r="O952" s="3">
        <v>0</v>
      </c>
      <c r="P952" s="3">
        <v>0</v>
      </c>
      <c r="Q952" s="32">
        <v>0</v>
      </c>
      <c r="R952" s="3">
        <f>Q952*3200</f>
        <v>0</v>
      </c>
      <c r="S952" s="3">
        <v>0</v>
      </c>
      <c r="T952" s="32">
        <v>0</v>
      </c>
      <c r="U952" s="3">
        <v>0</v>
      </c>
      <c r="V952" s="6">
        <f t="shared" si="249"/>
        <v>6600</v>
      </c>
    </row>
    <row r="953" spans="1:258" ht="25.2" customHeight="1" x14ac:dyDescent="0.3">
      <c r="A953" s="46" t="s">
        <v>1744</v>
      </c>
      <c r="B953" s="55" t="s">
        <v>861</v>
      </c>
      <c r="C953" s="2">
        <f t="shared" si="247"/>
        <v>3656400</v>
      </c>
      <c r="D953" s="3">
        <f t="shared" si="248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554</v>
      </c>
      <c r="N953" s="3">
        <f t="shared" si="252"/>
        <v>3656400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6">
        <f t="shared" si="249"/>
        <v>6600</v>
      </c>
    </row>
    <row r="954" spans="1:258" ht="25.2" customHeight="1" x14ac:dyDescent="0.3">
      <c r="A954" s="46" t="s">
        <v>1745</v>
      </c>
      <c r="B954" s="54" t="s">
        <v>682</v>
      </c>
      <c r="C954" s="2">
        <f t="shared" si="247"/>
        <v>7949700</v>
      </c>
      <c r="D954" s="3">
        <f t="shared" si="248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2">
        <v>1204.5</v>
      </c>
      <c r="N954" s="3">
        <f t="shared" si="252"/>
        <v>7949700</v>
      </c>
      <c r="O954" s="3">
        <v>0</v>
      </c>
      <c r="P954" s="3">
        <v>0</v>
      </c>
      <c r="Q954" s="32">
        <v>0</v>
      </c>
      <c r="R954" s="3">
        <f t="shared" ref="R954:R964" si="253">Q954*3200</f>
        <v>0</v>
      </c>
      <c r="S954" s="3">
        <v>0</v>
      </c>
      <c r="T954" s="32">
        <v>0</v>
      </c>
      <c r="U954" s="3">
        <v>0</v>
      </c>
      <c r="V954" s="6">
        <f t="shared" si="249"/>
        <v>6600</v>
      </c>
    </row>
    <row r="955" spans="1:258" ht="25.2" customHeight="1" x14ac:dyDescent="0.3">
      <c r="A955" s="46" t="s">
        <v>1746</v>
      </c>
      <c r="B955" s="49" t="s">
        <v>759</v>
      </c>
      <c r="C955" s="2">
        <f t="shared" si="247"/>
        <v>3884100</v>
      </c>
      <c r="D955" s="3">
        <f t="shared" si="248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32">
        <v>588.5</v>
      </c>
      <c r="N955" s="3">
        <f t="shared" si="252"/>
        <v>3884100</v>
      </c>
      <c r="O955" s="3">
        <v>0</v>
      </c>
      <c r="P955" s="3">
        <v>0</v>
      </c>
      <c r="Q955" s="32">
        <v>0</v>
      </c>
      <c r="R955" s="3">
        <f t="shared" si="253"/>
        <v>0</v>
      </c>
      <c r="S955" s="3">
        <v>0</v>
      </c>
      <c r="T955" s="32">
        <v>0</v>
      </c>
      <c r="U955" s="3">
        <v>0</v>
      </c>
      <c r="V955" s="6">
        <f t="shared" si="249"/>
        <v>6600</v>
      </c>
    </row>
    <row r="956" spans="1:258" s="59" customFormat="1" ht="25.2" customHeight="1" x14ac:dyDescent="0.3">
      <c r="A956" s="46" t="s">
        <v>1747</v>
      </c>
      <c r="B956" s="49" t="s">
        <v>758</v>
      </c>
      <c r="C956" s="2">
        <f t="shared" si="247"/>
        <v>7894259.9999999991</v>
      </c>
      <c r="D956" s="3">
        <f t="shared" si="248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2">
        <v>1196.0999999999999</v>
      </c>
      <c r="N956" s="3">
        <f t="shared" si="252"/>
        <v>7894259.9999999991</v>
      </c>
      <c r="O956" s="3">
        <v>0</v>
      </c>
      <c r="P956" s="3">
        <v>0</v>
      </c>
      <c r="Q956" s="32">
        <v>0</v>
      </c>
      <c r="R956" s="3">
        <f t="shared" si="253"/>
        <v>0</v>
      </c>
      <c r="S956" s="3">
        <v>0</v>
      </c>
      <c r="T956" s="32">
        <v>0</v>
      </c>
      <c r="U956" s="3">
        <v>0</v>
      </c>
      <c r="V956" s="6">
        <f t="shared" si="249"/>
        <v>6600</v>
      </c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  <c r="GT956" s="7"/>
      <c r="GU956" s="7"/>
      <c r="GV956" s="7"/>
      <c r="GW956" s="7"/>
      <c r="GX956" s="7"/>
      <c r="GY956" s="7"/>
      <c r="GZ956" s="7"/>
      <c r="HA956" s="7"/>
      <c r="HB956" s="7"/>
      <c r="HC956" s="7"/>
      <c r="HD956" s="7"/>
      <c r="HE956" s="7"/>
      <c r="HF956" s="7"/>
      <c r="HG956" s="7"/>
      <c r="HH956" s="7"/>
      <c r="HI956" s="7"/>
      <c r="HJ956" s="7"/>
      <c r="HK956" s="7"/>
      <c r="HL956" s="7"/>
      <c r="HM956" s="7"/>
      <c r="HN956" s="7"/>
      <c r="HO956" s="7"/>
      <c r="HP956" s="7"/>
      <c r="HQ956" s="7"/>
      <c r="HR956" s="7"/>
      <c r="HS956" s="7"/>
      <c r="HT956" s="7"/>
      <c r="HU956" s="7"/>
      <c r="HV956" s="7"/>
      <c r="HW956" s="7"/>
      <c r="HX956" s="7"/>
      <c r="HY956" s="7"/>
      <c r="HZ956" s="7"/>
      <c r="IA956" s="7"/>
      <c r="IB956" s="7"/>
      <c r="IC956" s="7"/>
      <c r="ID956" s="7"/>
      <c r="IE956" s="7"/>
      <c r="IF956" s="7"/>
      <c r="IG956" s="7"/>
      <c r="IH956" s="7"/>
      <c r="II956" s="7"/>
      <c r="IJ956" s="7"/>
      <c r="IK956" s="7"/>
      <c r="IL956" s="7"/>
      <c r="IM956" s="7"/>
      <c r="IN956" s="7"/>
      <c r="IO956" s="7"/>
      <c r="IP956" s="7"/>
      <c r="IQ956" s="7"/>
      <c r="IR956" s="7"/>
      <c r="IS956" s="7"/>
      <c r="IT956" s="7"/>
      <c r="IU956" s="7"/>
      <c r="IV956" s="7"/>
      <c r="IW956" s="7"/>
      <c r="IX956" s="7"/>
    </row>
    <row r="957" spans="1:258" ht="25.2" customHeight="1" x14ac:dyDescent="0.3">
      <c r="A957" s="46" t="s">
        <v>1748</v>
      </c>
      <c r="B957" s="49" t="s">
        <v>683</v>
      </c>
      <c r="C957" s="2">
        <f t="shared" si="247"/>
        <v>3980460</v>
      </c>
      <c r="D957" s="3">
        <f t="shared" si="248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603.1</v>
      </c>
      <c r="N957" s="3">
        <f t="shared" si="252"/>
        <v>3980460</v>
      </c>
      <c r="O957" s="3">
        <v>0</v>
      </c>
      <c r="P957" s="3">
        <v>0</v>
      </c>
      <c r="Q957" s="32">
        <v>0</v>
      </c>
      <c r="R957" s="3">
        <f t="shared" si="253"/>
        <v>0</v>
      </c>
      <c r="S957" s="3">
        <v>0</v>
      </c>
      <c r="T957" s="32">
        <v>0</v>
      </c>
      <c r="U957" s="3">
        <v>0</v>
      </c>
      <c r="V957" s="6">
        <f t="shared" si="249"/>
        <v>6600</v>
      </c>
    </row>
    <row r="958" spans="1:258" ht="25.2" customHeight="1" x14ac:dyDescent="0.3">
      <c r="A958" s="46" t="s">
        <v>1749</v>
      </c>
      <c r="B958" s="49" t="s">
        <v>686</v>
      </c>
      <c r="C958" s="2">
        <f t="shared" si="247"/>
        <v>3934920.0000000005</v>
      </c>
      <c r="D958" s="3">
        <f t="shared" si="248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596.20000000000005</v>
      </c>
      <c r="N958" s="3">
        <f t="shared" si="252"/>
        <v>3934920.0000000005</v>
      </c>
      <c r="O958" s="3">
        <v>0</v>
      </c>
      <c r="P958" s="3">
        <v>0</v>
      </c>
      <c r="Q958" s="32">
        <v>0</v>
      </c>
      <c r="R958" s="3">
        <f t="shared" si="253"/>
        <v>0</v>
      </c>
      <c r="S958" s="3">
        <v>0</v>
      </c>
      <c r="T958" s="32">
        <v>0</v>
      </c>
      <c r="U958" s="3">
        <v>0</v>
      </c>
      <c r="V958" s="6">
        <f t="shared" si="249"/>
        <v>6600</v>
      </c>
    </row>
    <row r="959" spans="1:258" ht="25.2" customHeight="1" x14ac:dyDescent="0.3">
      <c r="A959" s="46" t="s">
        <v>1750</v>
      </c>
      <c r="B959" s="49" t="s">
        <v>687</v>
      </c>
      <c r="C959" s="2">
        <f t="shared" si="247"/>
        <v>4034579.9999999995</v>
      </c>
      <c r="D959" s="3">
        <f t="shared" si="248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3">
        <v>611.29999999999995</v>
      </c>
      <c r="N959" s="3">
        <f t="shared" si="252"/>
        <v>4034579.9999999995</v>
      </c>
      <c r="O959" s="3">
        <v>0</v>
      </c>
      <c r="P959" s="3">
        <v>0</v>
      </c>
      <c r="Q959" s="32">
        <v>0</v>
      </c>
      <c r="R959" s="3">
        <f t="shared" si="253"/>
        <v>0</v>
      </c>
      <c r="S959" s="3">
        <v>0</v>
      </c>
      <c r="T959" s="32">
        <v>0</v>
      </c>
      <c r="U959" s="3">
        <v>0</v>
      </c>
      <c r="V959" s="6">
        <f t="shared" si="249"/>
        <v>6600</v>
      </c>
    </row>
    <row r="960" spans="1:258" ht="25.2" customHeight="1" x14ac:dyDescent="0.3">
      <c r="A960" s="46" t="s">
        <v>1751</v>
      </c>
      <c r="B960" s="49" t="s">
        <v>688</v>
      </c>
      <c r="C960" s="2">
        <f t="shared" si="247"/>
        <v>3949440</v>
      </c>
      <c r="D960" s="3">
        <f t="shared" si="248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2">
        <v>598.4</v>
      </c>
      <c r="N960" s="3">
        <f t="shared" si="252"/>
        <v>3949440</v>
      </c>
      <c r="O960" s="3">
        <v>0</v>
      </c>
      <c r="P960" s="3">
        <v>0</v>
      </c>
      <c r="Q960" s="32">
        <v>0</v>
      </c>
      <c r="R960" s="3">
        <f t="shared" si="253"/>
        <v>0</v>
      </c>
      <c r="S960" s="3">
        <v>0</v>
      </c>
      <c r="T960" s="32">
        <v>0</v>
      </c>
      <c r="U960" s="3">
        <v>0</v>
      </c>
      <c r="V960" s="6">
        <f t="shared" si="249"/>
        <v>6600</v>
      </c>
    </row>
    <row r="961" spans="1:258" ht="25.2" customHeight="1" x14ac:dyDescent="0.3">
      <c r="A961" s="46" t="s">
        <v>1752</v>
      </c>
      <c r="B961" s="49" t="s">
        <v>689</v>
      </c>
      <c r="C961" s="2">
        <f t="shared" si="247"/>
        <v>3939540</v>
      </c>
      <c r="D961" s="3">
        <f t="shared" si="248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596.9</v>
      </c>
      <c r="N961" s="3">
        <f t="shared" si="252"/>
        <v>3939540</v>
      </c>
      <c r="O961" s="3">
        <v>0</v>
      </c>
      <c r="P961" s="3">
        <v>0</v>
      </c>
      <c r="Q961" s="32">
        <v>0</v>
      </c>
      <c r="R961" s="3">
        <f t="shared" si="253"/>
        <v>0</v>
      </c>
      <c r="S961" s="3">
        <v>0</v>
      </c>
      <c r="T961" s="32">
        <v>0</v>
      </c>
      <c r="U961" s="3">
        <v>0</v>
      </c>
      <c r="V961" s="6">
        <f t="shared" si="249"/>
        <v>6600</v>
      </c>
    </row>
    <row r="962" spans="1:258" ht="25.2" customHeight="1" x14ac:dyDescent="0.3">
      <c r="A962" s="46" t="s">
        <v>1753</v>
      </c>
      <c r="B962" s="49" t="s">
        <v>684</v>
      </c>
      <c r="C962" s="2">
        <f t="shared" si="247"/>
        <v>3926340</v>
      </c>
      <c r="D962" s="3">
        <f t="shared" si="248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594.9</v>
      </c>
      <c r="N962" s="3">
        <f t="shared" si="252"/>
        <v>3926340</v>
      </c>
      <c r="O962" s="3">
        <v>0</v>
      </c>
      <c r="P962" s="3">
        <v>0</v>
      </c>
      <c r="Q962" s="32">
        <v>0</v>
      </c>
      <c r="R962" s="3">
        <f t="shared" si="253"/>
        <v>0</v>
      </c>
      <c r="S962" s="3">
        <v>0</v>
      </c>
      <c r="T962" s="32">
        <v>0</v>
      </c>
      <c r="U962" s="3">
        <v>0</v>
      </c>
      <c r="V962" s="6">
        <f t="shared" si="249"/>
        <v>6600</v>
      </c>
    </row>
    <row r="963" spans="1:258" ht="25.2" customHeight="1" x14ac:dyDescent="0.3">
      <c r="A963" s="46" t="s">
        <v>1754</v>
      </c>
      <c r="B963" s="49" t="s">
        <v>685</v>
      </c>
      <c r="C963" s="2">
        <f t="shared" si="247"/>
        <v>6181560</v>
      </c>
      <c r="D963" s="3">
        <f t="shared" si="248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2">
        <v>936.6</v>
      </c>
      <c r="N963" s="3">
        <f t="shared" si="252"/>
        <v>6181560</v>
      </c>
      <c r="O963" s="3">
        <v>0</v>
      </c>
      <c r="P963" s="3">
        <v>0</v>
      </c>
      <c r="Q963" s="32">
        <v>0</v>
      </c>
      <c r="R963" s="3">
        <f t="shared" si="253"/>
        <v>0</v>
      </c>
      <c r="S963" s="3">
        <v>0</v>
      </c>
      <c r="T963" s="32">
        <v>0</v>
      </c>
      <c r="U963" s="3">
        <v>0</v>
      </c>
      <c r="V963" s="6">
        <f t="shared" si="249"/>
        <v>6600</v>
      </c>
    </row>
    <row r="964" spans="1:258" ht="25.2" customHeight="1" x14ac:dyDescent="0.3">
      <c r="A964" s="46" t="s">
        <v>1755</v>
      </c>
      <c r="B964" s="49" t="s">
        <v>760</v>
      </c>
      <c r="C964" s="2">
        <f t="shared" si="247"/>
        <v>3880800</v>
      </c>
      <c r="D964" s="3">
        <f t="shared" si="248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2">
        <v>588</v>
      </c>
      <c r="N964" s="3">
        <f t="shared" si="252"/>
        <v>3880800</v>
      </c>
      <c r="O964" s="3">
        <v>0</v>
      </c>
      <c r="P964" s="3">
        <v>0</v>
      </c>
      <c r="Q964" s="32">
        <v>0</v>
      </c>
      <c r="R964" s="3">
        <f t="shared" si="253"/>
        <v>0</v>
      </c>
      <c r="S964" s="3">
        <v>0</v>
      </c>
      <c r="T964" s="32">
        <v>0</v>
      </c>
      <c r="U964" s="3">
        <v>0</v>
      </c>
      <c r="V964" s="6">
        <f t="shared" si="249"/>
        <v>6600</v>
      </c>
    </row>
    <row r="965" spans="1:258" ht="25.2" customHeight="1" x14ac:dyDescent="0.3">
      <c r="A965" s="46" t="s">
        <v>1756</v>
      </c>
      <c r="B965" s="49" t="s">
        <v>1203</v>
      </c>
      <c r="C965" s="2">
        <f t="shared" si="247"/>
        <v>300000</v>
      </c>
      <c r="D965" s="3">
        <f t="shared" si="248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32">
        <v>0</v>
      </c>
      <c r="N965" s="3">
        <v>0</v>
      </c>
      <c r="O965" s="3">
        <v>0</v>
      </c>
      <c r="P965" s="3">
        <v>0</v>
      </c>
      <c r="Q965" s="32">
        <v>0</v>
      </c>
      <c r="R965" s="3">
        <v>0</v>
      </c>
      <c r="S965" s="3">
        <v>0</v>
      </c>
      <c r="T965" s="32">
        <v>0</v>
      </c>
      <c r="U965" s="3">
        <v>300000</v>
      </c>
      <c r="V965" s="6" t="e">
        <f t="shared" si="249"/>
        <v>#DIV/0!</v>
      </c>
    </row>
    <row r="966" spans="1:258" ht="25.2" customHeight="1" x14ac:dyDescent="0.3">
      <c r="A966" s="46" t="s">
        <v>1757</v>
      </c>
      <c r="B966" s="49" t="s">
        <v>690</v>
      </c>
      <c r="C966" s="2">
        <f t="shared" si="247"/>
        <v>40287148.969999999</v>
      </c>
      <c r="D966" s="3">
        <f t="shared" si="248"/>
        <v>39832500</v>
      </c>
      <c r="E966" s="3">
        <f>700*13277.5</f>
        <v>9294250</v>
      </c>
      <c r="F966" s="3">
        <f>1300*13277.5</f>
        <v>17260750</v>
      </c>
      <c r="G966" s="3">
        <f>300*13277.5</f>
        <v>3983250</v>
      </c>
      <c r="H966" s="3">
        <f>400*13277.5</f>
        <v>5311000</v>
      </c>
      <c r="I966" s="3">
        <f>300*13277.5</f>
        <v>3983250</v>
      </c>
      <c r="J966" s="3">
        <v>0</v>
      </c>
      <c r="K966" s="4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f t="shared" ref="R966:R976" si="254">Q966*3200</f>
        <v>0</v>
      </c>
      <c r="S966" s="3">
        <v>0</v>
      </c>
      <c r="T966" s="32">
        <v>0</v>
      </c>
      <c r="U966" s="3">
        <v>454648.97</v>
      </c>
      <c r="V966" s="6" t="e">
        <f t="shared" si="249"/>
        <v>#DIV/0!</v>
      </c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  <c r="AS966" s="72"/>
      <c r="AT966" s="72"/>
      <c r="AU966" s="72"/>
      <c r="AV966" s="72"/>
      <c r="AW966" s="72"/>
      <c r="AX966" s="72"/>
      <c r="AY966" s="72"/>
      <c r="AZ966" s="72"/>
      <c r="BA966" s="72"/>
      <c r="BB966" s="72"/>
      <c r="BC966" s="72"/>
      <c r="BD966" s="72"/>
      <c r="BE966" s="72"/>
      <c r="BF966" s="72"/>
      <c r="BG966" s="72"/>
      <c r="BH966" s="72"/>
      <c r="BI966" s="72"/>
      <c r="BJ966" s="72"/>
      <c r="BK966" s="72"/>
      <c r="BL966" s="72"/>
      <c r="BM966" s="72"/>
      <c r="BN966" s="72"/>
      <c r="BO966" s="72"/>
      <c r="BP966" s="72"/>
      <c r="BQ966" s="72"/>
      <c r="BR966" s="72"/>
      <c r="BS966" s="72"/>
      <c r="BT966" s="72"/>
      <c r="BU966" s="72"/>
      <c r="BV966" s="72"/>
      <c r="BW966" s="72"/>
      <c r="BX966" s="72"/>
      <c r="BY966" s="72"/>
      <c r="BZ966" s="72"/>
      <c r="CA966" s="72"/>
      <c r="CB966" s="72"/>
      <c r="CC966" s="72"/>
      <c r="CD966" s="72"/>
      <c r="CE966" s="72"/>
      <c r="CF966" s="72"/>
      <c r="CG966" s="72"/>
      <c r="CH966" s="72"/>
      <c r="CI966" s="72"/>
      <c r="CJ966" s="72"/>
      <c r="CK966" s="72"/>
      <c r="CL966" s="72"/>
      <c r="CM966" s="72"/>
      <c r="CN966" s="72"/>
      <c r="CO966" s="72"/>
      <c r="CP966" s="72"/>
      <c r="CQ966" s="72"/>
      <c r="CR966" s="72"/>
      <c r="CS966" s="72"/>
      <c r="CT966" s="72"/>
      <c r="CU966" s="72"/>
      <c r="CV966" s="72"/>
      <c r="CW966" s="72"/>
      <c r="CX966" s="72"/>
      <c r="CY966" s="72"/>
      <c r="CZ966" s="72"/>
      <c r="DA966" s="72"/>
      <c r="DB966" s="72"/>
      <c r="DC966" s="72"/>
      <c r="DD966" s="72"/>
      <c r="DE966" s="72"/>
      <c r="DF966" s="72"/>
      <c r="DG966" s="72"/>
      <c r="DH966" s="72"/>
      <c r="DI966" s="72"/>
      <c r="DJ966" s="72"/>
      <c r="DK966" s="72"/>
      <c r="DL966" s="72"/>
      <c r="DM966" s="72"/>
      <c r="DN966" s="72"/>
      <c r="DO966" s="72"/>
      <c r="DP966" s="72"/>
      <c r="DQ966" s="72"/>
      <c r="DR966" s="72"/>
      <c r="DS966" s="72"/>
      <c r="DT966" s="72"/>
      <c r="DU966" s="72"/>
      <c r="DV966" s="72"/>
      <c r="DW966" s="72"/>
      <c r="DX966" s="72"/>
      <c r="DY966" s="72"/>
      <c r="DZ966" s="72"/>
      <c r="EA966" s="72"/>
      <c r="EB966" s="72"/>
      <c r="EC966" s="72"/>
      <c r="ED966" s="72"/>
      <c r="EE966" s="72"/>
      <c r="EF966" s="72"/>
      <c r="EG966" s="72"/>
      <c r="EH966" s="72"/>
      <c r="EI966" s="72"/>
      <c r="EJ966" s="72"/>
      <c r="EK966" s="72"/>
      <c r="EL966" s="72"/>
      <c r="EM966" s="72"/>
      <c r="EN966" s="72"/>
      <c r="EO966" s="72"/>
      <c r="EP966" s="72"/>
      <c r="EQ966" s="72"/>
      <c r="ER966" s="72"/>
      <c r="ES966" s="72"/>
      <c r="ET966" s="72"/>
      <c r="EU966" s="72"/>
      <c r="EV966" s="72"/>
      <c r="EW966" s="72"/>
      <c r="EX966" s="72"/>
      <c r="EY966" s="72"/>
      <c r="EZ966" s="72"/>
      <c r="FA966" s="72"/>
      <c r="FB966" s="72"/>
      <c r="FC966" s="72"/>
      <c r="FD966" s="72"/>
      <c r="FE966" s="72"/>
      <c r="FF966" s="72"/>
      <c r="FG966" s="72"/>
      <c r="FH966" s="72"/>
      <c r="FI966" s="72"/>
      <c r="FJ966" s="72"/>
      <c r="FK966" s="72"/>
      <c r="FL966" s="72"/>
      <c r="FM966" s="72"/>
      <c r="FN966" s="72"/>
      <c r="FO966" s="72"/>
      <c r="FP966" s="72"/>
      <c r="FQ966" s="72"/>
      <c r="FR966" s="72"/>
      <c r="FS966" s="72"/>
      <c r="FT966" s="72"/>
      <c r="FU966" s="72"/>
      <c r="FV966" s="72"/>
      <c r="FW966" s="72"/>
      <c r="FX966" s="72"/>
      <c r="FY966" s="72"/>
      <c r="FZ966" s="72"/>
      <c r="GA966" s="72"/>
      <c r="GB966" s="72"/>
      <c r="GC966" s="72"/>
      <c r="GD966" s="72"/>
      <c r="GE966" s="72"/>
      <c r="GF966" s="72"/>
      <c r="GG966" s="72"/>
      <c r="GH966" s="72"/>
      <c r="GI966" s="72"/>
      <c r="GJ966" s="72"/>
      <c r="GK966" s="72"/>
      <c r="GL966" s="72"/>
      <c r="GM966" s="72"/>
      <c r="GN966" s="72"/>
      <c r="GO966" s="72"/>
      <c r="GP966" s="72"/>
      <c r="GQ966" s="72"/>
      <c r="GR966" s="72"/>
      <c r="GS966" s="72"/>
      <c r="GT966" s="72"/>
      <c r="GU966" s="72"/>
      <c r="GV966" s="72"/>
      <c r="GW966" s="72"/>
      <c r="GX966" s="72"/>
      <c r="GY966" s="72"/>
      <c r="GZ966" s="72"/>
      <c r="HA966" s="72"/>
      <c r="HB966" s="72"/>
      <c r="HC966" s="72"/>
      <c r="HD966" s="72"/>
      <c r="HE966" s="72"/>
      <c r="HF966" s="72"/>
      <c r="HG966" s="72"/>
      <c r="HH966" s="72"/>
      <c r="HI966" s="72"/>
      <c r="HJ966" s="72"/>
      <c r="HK966" s="72"/>
      <c r="HL966" s="72"/>
      <c r="HM966" s="72"/>
      <c r="HN966" s="72"/>
      <c r="HO966" s="72"/>
      <c r="HP966" s="72"/>
      <c r="HQ966" s="72"/>
      <c r="HR966" s="72"/>
      <c r="HS966" s="72"/>
      <c r="HT966" s="72"/>
      <c r="HU966" s="72"/>
      <c r="HV966" s="72"/>
      <c r="HW966" s="72"/>
      <c r="HX966" s="72"/>
      <c r="HY966" s="72"/>
      <c r="HZ966" s="72"/>
      <c r="IA966" s="72"/>
      <c r="IB966" s="72"/>
      <c r="IC966" s="72"/>
      <c r="ID966" s="72"/>
      <c r="IE966" s="72"/>
      <c r="IF966" s="72"/>
      <c r="IG966" s="72"/>
      <c r="IH966" s="72"/>
      <c r="II966" s="72"/>
      <c r="IJ966" s="72"/>
      <c r="IK966" s="72"/>
      <c r="IL966" s="72"/>
      <c r="IM966" s="72"/>
      <c r="IN966" s="72"/>
      <c r="IO966" s="72"/>
      <c r="IP966" s="72"/>
      <c r="IQ966" s="72"/>
      <c r="IR966" s="72"/>
      <c r="IS966" s="72"/>
      <c r="IT966" s="72"/>
      <c r="IU966" s="72"/>
      <c r="IV966" s="72"/>
      <c r="IW966" s="72"/>
      <c r="IX966" s="72"/>
    </row>
    <row r="967" spans="1:258" ht="25.2" customHeight="1" x14ac:dyDescent="0.3">
      <c r="A967" s="46" t="s">
        <v>1758</v>
      </c>
      <c r="B967" s="49" t="s">
        <v>761</v>
      </c>
      <c r="C967" s="2">
        <f t="shared" si="247"/>
        <v>6285879.8300000001</v>
      </c>
      <c r="D967" s="3">
        <f t="shared" si="248"/>
        <v>6015000</v>
      </c>
      <c r="E967" s="3">
        <f>700*2005</f>
        <v>1403500</v>
      </c>
      <c r="F967" s="3">
        <f>1300*2005</f>
        <v>2606500</v>
      </c>
      <c r="G967" s="3">
        <f>300*2005</f>
        <v>601500</v>
      </c>
      <c r="H967" s="3">
        <f>400*2005</f>
        <v>802000</v>
      </c>
      <c r="I967" s="3">
        <f>300*2005</f>
        <v>601500</v>
      </c>
      <c r="J967" s="3">
        <v>0</v>
      </c>
      <c r="K967" s="4">
        <v>0</v>
      </c>
      <c r="L967" s="3">
        <v>0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f t="shared" si="254"/>
        <v>0</v>
      </c>
      <c r="S967" s="3">
        <v>0</v>
      </c>
      <c r="T967" s="32">
        <v>0</v>
      </c>
      <c r="U967" s="3">
        <v>270879.83</v>
      </c>
      <c r="V967" s="6" t="e">
        <f t="shared" si="249"/>
        <v>#DIV/0!</v>
      </c>
    </row>
    <row r="968" spans="1:258" ht="25.2" customHeight="1" x14ac:dyDescent="0.3">
      <c r="A968" s="46" t="s">
        <v>1759</v>
      </c>
      <c r="B968" s="49" t="s">
        <v>691</v>
      </c>
      <c r="C968" s="2">
        <f t="shared" si="247"/>
        <v>1782000</v>
      </c>
      <c r="D968" s="3">
        <f t="shared" si="248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3">
        <v>0</v>
      </c>
      <c r="L968" s="32">
        <v>0</v>
      </c>
      <c r="M968" s="32">
        <v>270</v>
      </c>
      <c r="N968" s="3">
        <f t="shared" ref="N968:N976" si="255">M968*6600</f>
        <v>1782000</v>
      </c>
      <c r="O968" s="3">
        <v>0</v>
      </c>
      <c r="P968" s="3">
        <v>0</v>
      </c>
      <c r="Q968" s="3">
        <v>0</v>
      </c>
      <c r="R968" s="3">
        <f t="shared" si="254"/>
        <v>0</v>
      </c>
      <c r="S968" s="3">
        <v>0</v>
      </c>
      <c r="T968" s="32">
        <v>0</v>
      </c>
      <c r="U968" s="3">
        <v>0</v>
      </c>
      <c r="V968" s="6">
        <f t="shared" si="249"/>
        <v>6600</v>
      </c>
    </row>
    <row r="969" spans="1:258" ht="25.2" customHeight="1" x14ac:dyDescent="0.3">
      <c r="A969" s="46" t="s">
        <v>1760</v>
      </c>
      <c r="B969" s="49" t="s">
        <v>693</v>
      </c>
      <c r="C969" s="2">
        <f t="shared" si="247"/>
        <v>1782000</v>
      </c>
      <c r="D969" s="3">
        <f t="shared" si="248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3">
        <v>0</v>
      </c>
      <c r="L969" s="32">
        <v>0</v>
      </c>
      <c r="M969" s="3">
        <v>270</v>
      </c>
      <c r="N969" s="3">
        <f t="shared" si="255"/>
        <v>1782000</v>
      </c>
      <c r="O969" s="3">
        <v>0</v>
      </c>
      <c r="P969" s="3">
        <v>0</v>
      </c>
      <c r="Q969" s="3">
        <v>0</v>
      </c>
      <c r="R969" s="3">
        <f t="shared" si="254"/>
        <v>0</v>
      </c>
      <c r="S969" s="3">
        <v>0</v>
      </c>
      <c r="T969" s="32">
        <v>0</v>
      </c>
      <c r="U969" s="3">
        <v>0</v>
      </c>
      <c r="V969" s="6">
        <f t="shared" si="249"/>
        <v>6600</v>
      </c>
    </row>
    <row r="970" spans="1:258" ht="25.2" customHeight="1" x14ac:dyDescent="0.3">
      <c r="A970" s="46" t="s">
        <v>1761</v>
      </c>
      <c r="B970" s="49" t="s">
        <v>762</v>
      </c>
      <c r="C970" s="2">
        <f t="shared" si="247"/>
        <v>1821600</v>
      </c>
      <c r="D970" s="3">
        <f t="shared" si="248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3">
        <v>0</v>
      </c>
      <c r="L970" s="32">
        <v>0</v>
      </c>
      <c r="M970" s="3">
        <v>276</v>
      </c>
      <c r="N970" s="3">
        <f t="shared" si="255"/>
        <v>1821600</v>
      </c>
      <c r="O970" s="3">
        <v>0</v>
      </c>
      <c r="P970" s="3">
        <v>0</v>
      </c>
      <c r="Q970" s="3">
        <v>0</v>
      </c>
      <c r="R970" s="3">
        <f t="shared" si="254"/>
        <v>0</v>
      </c>
      <c r="S970" s="3">
        <v>0</v>
      </c>
      <c r="T970" s="32">
        <v>0</v>
      </c>
      <c r="U970" s="3">
        <v>0</v>
      </c>
      <c r="V970" s="6">
        <f t="shared" si="249"/>
        <v>6600</v>
      </c>
    </row>
    <row r="971" spans="1:258" s="6" customFormat="1" ht="25.2" customHeight="1" x14ac:dyDescent="0.3">
      <c r="A971" s="46" t="s">
        <v>1762</v>
      </c>
      <c r="B971" s="49" t="s">
        <v>692</v>
      </c>
      <c r="C971" s="2">
        <f t="shared" si="247"/>
        <v>1821600</v>
      </c>
      <c r="D971" s="3">
        <f t="shared" si="248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3">
        <v>0</v>
      </c>
      <c r="L971" s="32">
        <v>0</v>
      </c>
      <c r="M971" s="3">
        <v>276</v>
      </c>
      <c r="N971" s="3">
        <f t="shared" si="255"/>
        <v>1821600</v>
      </c>
      <c r="O971" s="3">
        <v>0</v>
      </c>
      <c r="P971" s="3">
        <v>0</v>
      </c>
      <c r="Q971" s="3">
        <v>0</v>
      </c>
      <c r="R971" s="3">
        <f t="shared" si="254"/>
        <v>0</v>
      </c>
      <c r="S971" s="3">
        <v>0</v>
      </c>
      <c r="T971" s="32">
        <v>0</v>
      </c>
      <c r="U971" s="3">
        <v>0</v>
      </c>
      <c r="V971" s="6">
        <f t="shared" si="249"/>
        <v>6600</v>
      </c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7"/>
      <c r="DZ971" s="7"/>
      <c r="EA971" s="7"/>
      <c r="EB971" s="7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  <c r="GJ971" s="7"/>
      <c r="GK971" s="7"/>
      <c r="GL971" s="7"/>
      <c r="GM971" s="7"/>
      <c r="GN971" s="7"/>
      <c r="GO971" s="7"/>
      <c r="GP971" s="7"/>
      <c r="GQ971" s="7"/>
      <c r="GR971" s="7"/>
      <c r="GS971" s="7"/>
      <c r="GT971" s="7"/>
      <c r="GU971" s="7"/>
      <c r="GV971" s="7"/>
      <c r="GW971" s="7"/>
      <c r="GX971" s="7"/>
      <c r="GY971" s="7"/>
      <c r="GZ971" s="7"/>
      <c r="HA971" s="7"/>
      <c r="HB971" s="7"/>
      <c r="HC971" s="7"/>
      <c r="HD971" s="7"/>
      <c r="HE971" s="7"/>
      <c r="HF971" s="7"/>
      <c r="HG971" s="7"/>
      <c r="HH971" s="7"/>
      <c r="HI971" s="7"/>
      <c r="HJ971" s="7"/>
      <c r="HK971" s="7"/>
      <c r="HL971" s="7"/>
      <c r="HM971" s="7"/>
      <c r="HN971" s="7"/>
      <c r="HO971" s="7"/>
      <c r="HP971" s="7"/>
      <c r="HQ971" s="7"/>
      <c r="HR971" s="7"/>
      <c r="HS971" s="7"/>
      <c r="HT971" s="7"/>
      <c r="HU971" s="7"/>
      <c r="HV971" s="7"/>
      <c r="HW971" s="7"/>
      <c r="HX971" s="7"/>
      <c r="HY971" s="7"/>
      <c r="HZ971" s="7"/>
      <c r="IA971" s="7"/>
      <c r="IB971" s="7"/>
      <c r="IC971" s="7"/>
      <c r="ID971" s="7"/>
      <c r="IE971" s="7"/>
      <c r="IF971" s="7"/>
      <c r="IG971" s="7"/>
      <c r="IH971" s="7"/>
      <c r="II971" s="7"/>
      <c r="IJ971" s="7"/>
      <c r="IK971" s="7"/>
      <c r="IL971" s="7"/>
      <c r="IM971" s="7"/>
      <c r="IN971" s="7"/>
      <c r="IO971" s="7"/>
      <c r="IP971" s="7"/>
      <c r="IQ971" s="7"/>
      <c r="IR971" s="7"/>
      <c r="IS971" s="7"/>
      <c r="IT971" s="7"/>
      <c r="IU971" s="7"/>
      <c r="IV971" s="7"/>
      <c r="IW971" s="7"/>
      <c r="IX971" s="7"/>
    </row>
    <row r="972" spans="1:258" ht="25.2" customHeight="1" x14ac:dyDescent="0.3">
      <c r="A972" s="46" t="s">
        <v>1763</v>
      </c>
      <c r="B972" s="49" t="s">
        <v>763</v>
      </c>
      <c r="C972" s="2">
        <f t="shared" si="247"/>
        <v>4612740</v>
      </c>
      <c r="D972" s="3">
        <f t="shared" si="248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3">
        <v>0</v>
      </c>
      <c r="L972" s="32">
        <v>0</v>
      </c>
      <c r="M972" s="3">
        <v>698.9</v>
      </c>
      <c r="N972" s="3">
        <f t="shared" si="255"/>
        <v>4612740</v>
      </c>
      <c r="O972" s="3">
        <v>0</v>
      </c>
      <c r="P972" s="3">
        <v>0</v>
      </c>
      <c r="Q972" s="3">
        <v>0</v>
      </c>
      <c r="R972" s="3">
        <f t="shared" si="254"/>
        <v>0</v>
      </c>
      <c r="S972" s="3">
        <v>0</v>
      </c>
      <c r="T972" s="32">
        <v>0</v>
      </c>
      <c r="U972" s="3">
        <v>0</v>
      </c>
      <c r="V972" s="6">
        <f t="shared" si="249"/>
        <v>6600</v>
      </c>
    </row>
    <row r="973" spans="1:258" ht="25.2" customHeight="1" x14ac:dyDescent="0.3">
      <c r="A973" s="46" t="s">
        <v>1764</v>
      </c>
      <c r="B973" s="49" t="s">
        <v>788</v>
      </c>
      <c r="C973" s="2">
        <f t="shared" si="247"/>
        <v>12034213.789999999</v>
      </c>
      <c r="D973" s="3">
        <f t="shared" si="248"/>
        <v>5655300</v>
      </c>
      <c r="E973" s="3">
        <f>700*1885.1</f>
        <v>1319570</v>
      </c>
      <c r="F973" s="3">
        <f>1300*1885.1</f>
        <v>2450630</v>
      </c>
      <c r="G973" s="3">
        <f>300*1885.1</f>
        <v>565530</v>
      </c>
      <c r="H973" s="3">
        <f>400*1885.1</f>
        <v>754040</v>
      </c>
      <c r="I973" s="3">
        <f>300*1885.1</f>
        <v>565530</v>
      </c>
      <c r="J973" s="3">
        <v>0</v>
      </c>
      <c r="K973" s="4">
        <v>0</v>
      </c>
      <c r="L973" s="3">
        <v>0</v>
      </c>
      <c r="M973" s="32">
        <v>937.4</v>
      </c>
      <c r="N973" s="3">
        <f t="shared" si="255"/>
        <v>6186840</v>
      </c>
      <c r="O973" s="3">
        <v>0</v>
      </c>
      <c r="P973" s="3">
        <v>0</v>
      </c>
      <c r="Q973" s="3">
        <v>0</v>
      </c>
      <c r="R973" s="3">
        <f t="shared" si="254"/>
        <v>0</v>
      </c>
      <c r="S973" s="3">
        <v>0</v>
      </c>
      <c r="T973" s="32">
        <v>0</v>
      </c>
      <c r="U973" s="3">
        <v>192073.79</v>
      </c>
      <c r="V973" s="6">
        <f t="shared" si="249"/>
        <v>6600</v>
      </c>
    </row>
    <row r="974" spans="1:258" ht="25.2" customHeight="1" x14ac:dyDescent="0.3">
      <c r="A974" s="46" t="s">
        <v>1765</v>
      </c>
      <c r="B974" s="49" t="s">
        <v>764</v>
      </c>
      <c r="C974" s="2">
        <f t="shared" si="247"/>
        <v>8005800</v>
      </c>
      <c r="D974" s="3">
        <f t="shared" si="248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33">
        <v>0</v>
      </c>
      <c r="L974" s="32">
        <v>0</v>
      </c>
      <c r="M974" s="3">
        <v>1213</v>
      </c>
      <c r="N974" s="3">
        <f t="shared" si="255"/>
        <v>8005800</v>
      </c>
      <c r="O974" s="3">
        <v>0</v>
      </c>
      <c r="P974" s="3">
        <v>0</v>
      </c>
      <c r="Q974" s="3">
        <v>0</v>
      </c>
      <c r="R974" s="3">
        <f t="shared" si="254"/>
        <v>0</v>
      </c>
      <c r="S974" s="3">
        <v>0</v>
      </c>
      <c r="T974" s="32">
        <v>0</v>
      </c>
      <c r="U974" s="3">
        <v>0</v>
      </c>
      <c r="V974" s="6">
        <f t="shared" si="249"/>
        <v>6600</v>
      </c>
    </row>
    <row r="975" spans="1:258" ht="25.2" customHeight="1" x14ac:dyDescent="0.3">
      <c r="A975" s="46" t="s">
        <v>1766</v>
      </c>
      <c r="B975" s="49" t="s">
        <v>694</v>
      </c>
      <c r="C975" s="2">
        <f t="shared" si="247"/>
        <v>6268020</v>
      </c>
      <c r="D975" s="3">
        <f t="shared" si="248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3">
        <v>0</v>
      </c>
      <c r="L975" s="32">
        <v>0</v>
      </c>
      <c r="M975" s="3">
        <v>949.7</v>
      </c>
      <c r="N975" s="3">
        <f t="shared" si="255"/>
        <v>6268020</v>
      </c>
      <c r="O975" s="3">
        <v>0</v>
      </c>
      <c r="P975" s="3">
        <v>0</v>
      </c>
      <c r="Q975" s="3">
        <v>0</v>
      </c>
      <c r="R975" s="3">
        <f t="shared" si="254"/>
        <v>0</v>
      </c>
      <c r="S975" s="3">
        <v>0</v>
      </c>
      <c r="T975" s="32">
        <v>0</v>
      </c>
      <c r="U975" s="3">
        <v>0</v>
      </c>
      <c r="V975" s="6">
        <f t="shared" si="249"/>
        <v>6600</v>
      </c>
    </row>
    <row r="976" spans="1:258" ht="25.2" customHeight="1" x14ac:dyDescent="0.3">
      <c r="A976" s="46" t="s">
        <v>1767</v>
      </c>
      <c r="B976" s="49" t="s">
        <v>695</v>
      </c>
      <c r="C976" s="2">
        <f t="shared" si="247"/>
        <v>3073680</v>
      </c>
      <c r="D976" s="3">
        <f t="shared" si="248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3">
        <v>0</v>
      </c>
      <c r="L976" s="32">
        <v>0</v>
      </c>
      <c r="M976" s="32">
        <v>274</v>
      </c>
      <c r="N976" s="3">
        <f t="shared" si="255"/>
        <v>1808400</v>
      </c>
      <c r="O976" s="32">
        <v>0</v>
      </c>
      <c r="P976" s="32">
        <v>0</v>
      </c>
      <c r="Q976" s="32">
        <v>395.4</v>
      </c>
      <c r="R976" s="3">
        <f t="shared" si="254"/>
        <v>1265280</v>
      </c>
      <c r="S976" s="32">
        <v>0</v>
      </c>
      <c r="T976" s="32">
        <v>0</v>
      </c>
      <c r="U976" s="32">
        <v>0</v>
      </c>
      <c r="V976" s="6">
        <f t="shared" si="249"/>
        <v>6600</v>
      </c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  <c r="BU976" s="9"/>
      <c r="BV976" s="9"/>
      <c r="BW976" s="9"/>
      <c r="BX976" s="9"/>
      <c r="BY976" s="9"/>
      <c r="BZ976" s="9"/>
      <c r="CA976" s="9"/>
      <c r="CB976" s="9"/>
      <c r="CC976" s="9"/>
      <c r="CD976" s="9"/>
      <c r="CE976" s="9"/>
      <c r="CF976" s="9"/>
      <c r="CG976" s="9"/>
      <c r="CH976" s="9"/>
      <c r="CI976" s="9"/>
      <c r="CJ976" s="9"/>
      <c r="CK976" s="9"/>
      <c r="CL976" s="9"/>
      <c r="CM976" s="9"/>
      <c r="CN976" s="9"/>
      <c r="CO976" s="9"/>
      <c r="CP976" s="9"/>
      <c r="CQ976" s="9"/>
      <c r="CR976" s="9"/>
      <c r="CS976" s="9"/>
      <c r="CT976" s="9"/>
      <c r="CU976" s="9"/>
      <c r="CV976" s="9"/>
      <c r="CW976" s="9"/>
      <c r="CX976" s="9"/>
      <c r="CY976" s="9"/>
      <c r="CZ976" s="9"/>
      <c r="DA976" s="9"/>
      <c r="DB976" s="9"/>
      <c r="DC976" s="9"/>
      <c r="DD976" s="9"/>
      <c r="DE976" s="9"/>
      <c r="DF976" s="9"/>
      <c r="DG976" s="9"/>
      <c r="DH976" s="9"/>
      <c r="DI976" s="9"/>
      <c r="DJ976" s="9"/>
      <c r="DK976" s="9"/>
      <c r="DL976" s="9"/>
      <c r="DM976" s="9"/>
      <c r="DN976" s="9"/>
      <c r="DO976" s="9"/>
      <c r="DP976" s="9"/>
      <c r="DQ976" s="9"/>
      <c r="DR976" s="9"/>
      <c r="DS976" s="9"/>
      <c r="DT976" s="9"/>
      <c r="DU976" s="9"/>
      <c r="DV976" s="9"/>
      <c r="DW976" s="9"/>
      <c r="DX976" s="9"/>
      <c r="DY976" s="9"/>
      <c r="DZ976" s="9"/>
      <c r="EA976" s="9"/>
      <c r="EB976" s="9"/>
      <c r="EC976" s="9"/>
      <c r="ED976" s="9"/>
      <c r="EE976" s="9"/>
      <c r="EF976" s="9"/>
      <c r="EG976" s="9"/>
      <c r="EH976" s="9"/>
      <c r="EI976" s="9"/>
      <c r="EJ976" s="9"/>
      <c r="EK976" s="9"/>
      <c r="EL976" s="9"/>
      <c r="EM976" s="9"/>
      <c r="EN976" s="9"/>
      <c r="EO976" s="9"/>
      <c r="EP976" s="9"/>
      <c r="EQ976" s="9"/>
      <c r="ER976" s="9"/>
      <c r="ES976" s="9"/>
      <c r="ET976" s="9"/>
      <c r="EU976" s="9"/>
      <c r="EV976" s="9"/>
      <c r="EW976" s="9"/>
      <c r="EX976" s="9"/>
      <c r="EY976" s="9"/>
      <c r="EZ976" s="9"/>
      <c r="FA976" s="9"/>
      <c r="FB976" s="9"/>
      <c r="FC976" s="9"/>
      <c r="FD976" s="9"/>
      <c r="FE976" s="9"/>
      <c r="FF976" s="9"/>
      <c r="FG976" s="9"/>
      <c r="FH976" s="9"/>
      <c r="FI976" s="9"/>
      <c r="FJ976" s="9"/>
      <c r="FK976" s="9"/>
      <c r="FL976" s="9"/>
      <c r="FM976" s="9"/>
      <c r="FN976" s="9"/>
      <c r="FO976" s="9"/>
      <c r="FP976" s="9"/>
      <c r="FQ976" s="9"/>
      <c r="FR976" s="9"/>
      <c r="FS976" s="9"/>
      <c r="FT976" s="9"/>
      <c r="FU976" s="9"/>
      <c r="FV976" s="9"/>
      <c r="FW976" s="9"/>
      <c r="FX976" s="9"/>
      <c r="FY976" s="9"/>
      <c r="FZ976" s="9"/>
      <c r="GA976" s="9"/>
      <c r="GB976" s="9"/>
      <c r="GC976" s="9"/>
      <c r="GD976" s="9"/>
      <c r="GE976" s="9"/>
      <c r="GF976" s="9"/>
      <c r="GG976" s="9"/>
      <c r="GH976" s="9"/>
      <c r="GI976" s="9"/>
      <c r="GJ976" s="71"/>
      <c r="GK976" s="71"/>
      <c r="GL976" s="71"/>
      <c r="GM976" s="71"/>
      <c r="GN976" s="71"/>
      <c r="GO976" s="71"/>
      <c r="GP976" s="71"/>
      <c r="GQ976" s="71"/>
      <c r="GR976" s="71"/>
      <c r="GS976" s="71"/>
      <c r="GT976" s="71"/>
      <c r="GU976" s="71"/>
      <c r="GV976" s="71"/>
      <c r="GW976" s="71"/>
      <c r="GX976" s="71"/>
      <c r="GY976" s="71"/>
      <c r="GZ976" s="71"/>
      <c r="HA976" s="71"/>
      <c r="HB976" s="71"/>
      <c r="HC976" s="71"/>
      <c r="HD976" s="71"/>
      <c r="HE976" s="71"/>
      <c r="HF976" s="71"/>
      <c r="HG976" s="71"/>
      <c r="HH976" s="71"/>
      <c r="HI976" s="71"/>
      <c r="HJ976" s="71"/>
      <c r="HK976" s="71"/>
      <c r="HL976" s="71"/>
      <c r="HM976" s="71"/>
      <c r="HN976" s="71"/>
      <c r="HO976" s="71"/>
      <c r="HP976" s="71"/>
      <c r="HQ976" s="71"/>
      <c r="HR976" s="71"/>
      <c r="HS976" s="71"/>
      <c r="HT976" s="71"/>
      <c r="HU976" s="71"/>
      <c r="HV976" s="71"/>
      <c r="HW976" s="71"/>
      <c r="HX976" s="71"/>
      <c r="HY976" s="71"/>
      <c r="HZ976" s="71"/>
      <c r="IA976" s="71"/>
      <c r="IB976" s="71"/>
      <c r="IC976" s="71"/>
      <c r="ID976" s="71"/>
      <c r="IE976" s="71"/>
      <c r="IF976" s="71"/>
      <c r="IG976" s="71"/>
      <c r="IH976" s="71"/>
      <c r="II976" s="71"/>
      <c r="IJ976" s="71"/>
      <c r="IK976" s="71"/>
      <c r="IL976" s="71"/>
      <c r="IM976" s="71"/>
      <c r="IN976" s="71"/>
      <c r="IO976" s="71"/>
      <c r="IP976" s="71"/>
      <c r="IQ976" s="71"/>
      <c r="IR976" s="71"/>
      <c r="IS976" s="71"/>
      <c r="IT976" s="71"/>
      <c r="IU976" s="71"/>
      <c r="IV976" s="71"/>
      <c r="IW976" s="71"/>
      <c r="IX976" s="71"/>
    </row>
    <row r="977" spans="1:258" ht="25.2" customHeight="1" x14ac:dyDescent="0.3">
      <c r="A977" s="46" t="s">
        <v>1768</v>
      </c>
      <c r="B977" s="49" t="s">
        <v>388</v>
      </c>
      <c r="C977" s="2">
        <f t="shared" si="247"/>
        <v>7632490</v>
      </c>
      <c r="D977" s="3">
        <f t="shared" si="248"/>
        <v>6782490</v>
      </c>
      <c r="E977" s="3">
        <f>700*2125.1</f>
        <v>1487570</v>
      </c>
      <c r="F977" s="3">
        <f>1300*2125.1</f>
        <v>2762630</v>
      </c>
      <c r="G977" s="3">
        <f>300*2125.1</f>
        <v>637530</v>
      </c>
      <c r="H977" s="3">
        <f>400*2125.1</f>
        <v>850040</v>
      </c>
      <c r="I977" s="3">
        <f>300*3482.4</f>
        <v>1044720</v>
      </c>
      <c r="J977" s="3">
        <f>800*0</f>
        <v>0</v>
      </c>
      <c r="K977" s="4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850000</v>
      </c>
      <c r="V977" s="6" t="e">
        <f t="shared" si="249"/>
        <v>#DIV/0!</v>
      </c>
    </row>
    <row r="978" spans="1:258" ht="25.2" customHeight="1" x14ac:dyDescent="0.3">
      <c r="A978" s="46" t="s">
        <v>1769</v>
      </c>
      <c r="B978" s="49" t="s">
        <v>364</v>
      </c>
      <c r="C978" s="2">
        <f t="shared" si="247"/>
        <v>10754280</v>
      </c>
      <c r="D978" s="3">
        <f t="shared" si="248"/>
        <v>9904280</v>
      </c>
      <c r="E978" s="3">
        <f>700*3482.4</f>
        <v>2437680</v>
      </c>
      <c r="F978" s="3">
        <f>1300*3482.4</f>
        <v>4527120</v>
      </c>
      <c r="G978" s="3">
        <f>300*3482.4</f>
        <v>1044720</v>
      </c>
      <c r="H978" s="3">
        <f>400*2125.1</f>
        <v>850040</v>
      </c>
      <c r="I978" s="3">
        <f>300*3482.4</f>
        <v>1044720</v>
      </c>
      <c r="J978" s="3">
        <f>800*0</f>
        <v>0</v>
      </c>
      <c r="K978" s="4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850000</v>
      </c>
      <c r="V978" s="6" t="e">
        <f t="shared" si="249"/>
        <v>#DIV/0!</v>
      </c>
    </row>
    <row r="979" spans="1:258" s="59" customFormat="1" ht="25.2" customHeight="1" x14ac:dyDescent="0.3">
      <c r="A979" s="46" t="s">
        <v>1770</v>
      </c>
      <c r="B979" s="54" t="s">
        <v>696</v>
      </c>
      <c r="C979" s="2">
        <f t="shared" si="247"/>
        <v>4170062.94</v>
      </c>
      <c r="D979" s="3">
        <f t="shared" si="248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3">
        <v>600</v>
      </c>
      <c r="N979" s="3">
        <f>M979*6600</f>
        <v>3960000</v>
      </c>
      <c r="O979" s="3">
        <v>0</v>
      </c>
      <c r="P979" s="3">
        <v>0</v>
      </c>
      <c r="Q979" s="3">
        <v>0</v>
      </c>
      <c r="R979" s="3">
        <f>Q979*3200</f>
        <v>0</v>
      </c>
      <c r="S979" s="3">
        <v>0</v>
      </c>
      <c r="T979" s="32">
        <v>0</v>
      </c>
      <c r="U979" s="3">
        <v>210062.94</v>
      </c>
      <c r="V979" s="6">
        <f t="shared" si="249"/>
        <v>6600</v>
      </c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7"/>
      <c r="DZ979" s="7"/>
      <c r="EA979" s="7"/>
      <c r="EB979" s="7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  <c r="GJ979" s="7"/>
      <c r="GK979" s="7"/>
      <c r="GL979" s="7"/>
      <c r="GM979" s="7"/>
      <c r="GN979" s="7"/>
      <c r="GO979" s="7"/>
      <c r="GP979" s="7"/>
      <c r="GQ979" s="7"/>
      <c r="GR979" s="7"/>
      <c r="GS979" s="7"/>
      <c r="GT979" s="7"/>
      <c r="GU979" s="7"/>
      <c r="GV979" s="7"/>
      <c r="GW979" s="7"/>
      <c r="GX979" s="7"/>
      <c r="GY979" s="7"/>
      <c r="GZ979" s="7"/>
      <c r="HA979" s="7"/>
      <c r="HB979" s="7"/>
      <c r="HC979" s="7"/>
      <c r="HD979" s="7"/>
      <c r="HE979" s="7"/>
      <c r="HF979" s="7"/>
      <c r="HG979" s="7"/>
      <c r="HH979" s="7"/>
      <c r="HI979" s="7"/>
      <c r="HJ979" s="7"/>
      <c r="HK979" s="7"/>
      <c r="HL979" s="7"/>
      <c r="HM979" s="7"/>
      <c r="HN979" s="7"/>
      <c r="HO979" s="7"/>
      <c r="HP979" s="7"/>
      <c r="HQ979" s="7"/>
      <c r="HR979" s="7"/>
      <c r="HS979" s="7"/>
      <c r="HT979" s="7"/>
      <c r="HU979" s="7"/>
      <c r="HV979" s="7"/>
      <c r="HW979" s="7"/>
      <c r="HX979" s="7"/>
      <c r="HY979" s="7"/>
      <c r="HZ979" s="7"/>
      <c r="IA979" s="7"/>
      <c r="IB979" s="7"/>
      <c r="IC979" s="7"/>
      <c r="ID979" s="7"/>
      <c r="IE979" s="7"/>
      <c r="IF979" s="7"/>
      <c r="IG979" s="7"/>
      <c r="IH979" s="7"/>
      <c r="II979" s="7"/>
      <c r="IJ979" s="7"/>
      <c r="IK979" s="7"/>
      <c r="IL979" s="7"/>
      <c r="IM979" s="7"/>
      <c r="IN979" s="7"/>
      <c r="IO979" s="7"/>
      <c r="IP979" s="7"/>
      <c r="IQ979" s="7"/>
      <c r="IR979" s="7"/>
      <c r="IS979" s="7"/>
      <c r="IT979" s="7"/>
      <c r="IU979" s="7"/>
      <c r="IV979" s="7"/>
      <c r="IW979" s="7"/>
      <c r="IX979" s="7"/>
    </row>
    <row r="980" spans="1:258" ht="25.2" customHeight="1" x14ac:dyDescent="0.3">
      <c r="A980" s="46" t="s">
        <v>1771</v>
      </c>
      <c r="B980" s="49" t="s">
        <v>386</v>
      </c>
      <c r="C980" s="2">
        <f t="shared" si="247"/>
        <v>400000</v>
      </c>
      <c r="D980" s="3">
        <f t="shared" si="248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400000</v>
      </c>
      <c r="V980" s="6" t="e">
        <f t="shared" si="249"/>
        <v>#DIV/0!</v>
      </c>
    </row>
    <row r="981" spans="1:258" ht="25.2" customHeight="1" x14ac:dyDescent="0.3">
      <c r="A981" s="46" t="s">
        <v>1772</v>
      </c>
      <c r="B981" s="55" t="s">
        <v>855</v>
      </c>
      <c r="C981" s="2">
        <f t="shared" si="247"/>
        <v>7251100</v>
      </c>
      <c r="D981" s="3">
        <f t="shared" si="248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623.5</v>
      </c>
      <c r="N981" s="3">
        <f>M981*6600</f>
        <v>4115100</v>
      </c>
      <c r="O981" s="3">
        <v>0</v>
      </c>
      <c r="P981" s="3">
        <v>0</v>
      </c>
      <c r="Q981" s="3">
        <v>980</v>
      </c>
      <c r="R981" s="32">
        <f t="shared" ref="R981:R992" si="256">Q981*3200</f>
        <v>3136000</v>
      </c>
      <c r="S981" s="3">
        <v>0</v>
      </c>
      <c r="T981" s="3">
        <v>0</v>
      </c>
      <c r="U981" s="3">
        <v>0</v>
      </c>
      <c r="V981" s="6">
        <f t="shared" si="249"/>
        <v>6600</v>
      </c>
    </row>
    <row r="982" spans="1:258" s="6" customFormat="1" ht="25.2" customHeight="1" x14ac:dyDescent="0.3">
      <c r="A982" s="46" t="s">
        <v>1773</v>
      </c>
      <c r="B982" s="54" t="s">
        <v>765</v>
      </c>
      <c r="C982" s="2">
        <f t="shared" si="247"/>
        <v>4284720</v>
      </c>
      <c r="D982" s="3">
        <f t="shared" si="248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32">
        <v>649.20000000000005</v>
      </c>
      <c r="N982" s="3">
        <f>M982*6600</f>
        <v>4284720</v>
      </c>
      <c r="O982" s="3">
        <v>0</v>
      </c>
      <c r="P982" s="3">
        <v>0</v>
      </c>
      <c r="Q982" s="3">
        <v>0</v>
      </c>
      <c r="R982" s="3">
        <f t="shared" si="256"/>
        <v>0</v>
      </c>
      <c r="S982" s="3">
        <v>0</v>
      </c>
      <c r="T982" s="32">
        <v>0</v>
      </c>
      <c r="U982" s="3">
        <v>0</v>
      </c>
      <c r="V982" s="6">
        <f t="shared" si="249"/>
        <v>6599.9999999999991</v>
      </c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  <c r="GT982" s="7"/>
      <c r="GU982" s="7"/>
      <c r="GV982" s="7"/>
      <c r="GW982" s="7"/>
      <c r="GX982" s="7"/>
      <c r="GY982" s="7"/>
      <c r="GZ982" s="7"/>
      <c r="HA982" s="7"/>
      <c r="HB982" s="7"/>
      <c r="HC982" s="7"/>
      <c r="HD982" s="7"/>
      <c r="HE982" s="7"/>
      <c r="HF982" s="7"/>
      <c r="HG982" s="7"/>
      <c r="HH982" s="7"/>
      <c r="HI982" s="7"/>
      <c r="HJ982" s="7"/>
      <c r="HK982" s="7"/>
      <c r="HL982" s="7"/>
      <c r="HM982" s="7"/>
      <c r="HN982" s="7"/>
      <c r="HO982" s="7"/>
      <c r="HP982" s="7"/>
      <c r="HQ982" s="7"/>
      <c r="HR982" s="7"/>
      <c r="HS982" s="7"/>
      <c r="HT982" s="7"/>
      <c r="HU982" s="7"/>
      <c r="HV982" s="7"/>
      <c r="HW982" s="7"/>
      <c r="HX982" s="7"/>
      <c r="HY982" s="7"/>
      <c r="HZ982" s="7"/>
      <c r="IA982" s="7"/>
      <c r="IB982" s="7"/>
      <c r="IC982" s="7"/>
      <c r="ID982" s="7"/>
      <c r="IE982" s="7"/>
      <c r="IF982" s="7"/>
      <c r="IG982" s="7"/>
      <c r="IH982" s="7"/>
      <c r="II982" s="7"/>
      <c r="IJ982" s="7"/>
      <c r="IK982" s="7"/>
      <c r="IL982" s="7"/>
      <c r="IM982" s="7"/>
      <c r="IN982" s="7"/>
      <c r="IO982" s="7"/>
      <c r="IP982" s="7"/>
      <c r="IQ982" s="7"/>
      <c r="IR982" s="7"/>
      <c r="IS982" s="7"/>
      <c r="IT982" s="7"/>
      <c r="IU982" s="7"/>
      <c r="IV982" s="7"/>
      <c r="IW982" s="7"/>
      <c r="IX982" s="7"/>
    </row>
    <row r="983" spans="1:258" ht="25.2" customHeight="1" x14ac:dyDescent="0.3">
      <c r="A983" s="46" t="s">
        <v>1774</v>
      </c>
      <c r="B983" s="54" t="s">
        <v>518</v>
      </c>
      <c r="C983" s="2">
        <f t="shared" si="247"/>
        <v>12428999.35</v>
      </c>
      <c r="D983" s="3">
        <f t="shared" si="248"/>
        <v>3386700.0000000005</v>
      </c>
      <c r="E983" s="3">
        <f>700*1128.9</f>
        <v>790230.00000000012</v>
      </c>
      <c r="F983" s="3">
        <f>1300*1128.9</f>
        <v>1467570.0000000002</v>
      </c>
      <c r="G983" s="3">
        <f>300*1128.9</f>
        <v>338670</v>
      </c>
      <c r="H983" s="3">
        <f>400*1128.9</f>
        <v>451560.00000000006</v>
      </c>
      <c r="I983" s="3">
        <f>300*1128.9</f>
        <v>338670</v>
      </c>
      <c r="J983" s="3">
        <v>0</v>
      </c>
      <c r="K983" s="33">
        <v>0</v>
      </c>
      <c r="L983" s="32">
        <v>0</v>
      </c>
      <c r="M983" s="32">
        <v>684.8</v>
      </c>
      <c r="N983" s="3">
        <f>M983*6600</f>
        <v>4519680</v>
      </c>
      <c r="O983" s="32">
        <v>0</v>
      </c>
      <c r="P983" s="32">
        <v>0</v>
      </c>
      <c r="Q983" s="32">
        <v>1350</v>
      </c>
      <c r="R983" s="3">
        <f t="shared" si="256"/>
        <v>4320000</v>
      </c>
      <c r="S983" s="32">
        <v>0</v>
      </c>
      <c r="T983" s="32">
        <v>0</v>
      </c>
      <c r="U983" s="32">
        <v>202619.35</v>
      </c>
      <c r="V983" s="6">
        <f t="shared" si="249"/>
        <v>6600</v>
      </c>
    </row>
    <row r="984" spans="1:258" s="59" customFormat="1" ht="25.2" customHeight="1" x14ac:dyDescent="0.3">
      <c r="A984" s="46" t="s">
        <v>1775</v>
      </c>
      <c r="B984" s="49" t="s">
        <v>766</v>
      </c>
      <c r="C984" s="2">
        <f t="shared" si="247"/>
        <v>4304520</v>
      </c>
      <c r="D984" s="3">
        <f t="shared" si="248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32">
        <v>652.20000000000005</v>
      </c>
      <c r="N984" s="3">
        <f>M984*6600</f>
        <v>4304520</v>
      </c>
      <c r="O984" s="3">
        <v>0</v>
      </c>
      <c r="P984" s="3">
        <v>0</v>
      </c>
      <c r="Q984" s="3">
        <v>0</v>
      </c>
      <c r="R984" s="3">
        <f t="shared" si="256"/>
        <v>0</v>
      </c>
      <c r="S984" s="3">
        <v>0</v>
      </c>
      <c r="T984" s="32">
        <v>0</v>
      </c>
      <c r="U984" s="3">
        <v>0</v>
      </c>
      <c r="V984" s="6">
        <f t="shared" si="249"/>
        <v>6599.9999999999991</v>
      </c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7"/>
      <c r="DZ984" s="7"/>
      <c r="EA984" s="7"/>
      <c r="EB984" s="7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  <c r="GJ984" s="7"/>
      <c r="GK984" s="7"/>
      <c r="GL984" s="7"/>
      <c r="GM984" s="7"/>
      <c r="GN984" s="7"/>
      <c r="GO984" s="7"/>
      <c r="GP984" s="7"/>
      <c r="GQ984" s="7"/>
      <c r="GR984" s="7"/>
      <c r="GS984" s="7"/>
      <c r="GT984" s="7"/>
      <c r="GU984" s="7"/>
      <c r="GV984" s="7"/>
      <c r="GW984" s="7"/>
      <c r="GX984" s="7"/>
      <c r="GY984" s="7"/>
      <c r="GZ984" s="7"/>
      <c r="HA984" s="7"/>
      <c r="HB984" s="7"/>
      <c r="HC984" s="7"/>
      <c r="HD984" s="7"/>
      <c r="HE984" s="7"/>
      <c r="HF984" s="7"/>
      <c r="HG984" s="7"/>
      <c r="HH984" s="7"/>
      <c r="HI984" s="7"/>
      <c r="HJ984" s="7"/>
      <c r="HK984" s="7"/>
      <c r="HL984" s="7"/>
      <c r="HM984" s="7"/>
      <c r="HN984" s="7"/>
      <c r="HO984" s="7"/>
      <c r="HP984" s="7"/>
      <c r="HQ984" s="7"/>
      <c r="HR984" s="7"/>
      <c r="HS984" s="7"/>
      <c r="HT984" s="7"/>
      <c r="HU984" s="7"/>
      <c r="HV984" s="7"/>
      <c r="HW984" s="7"/>
      <c r="HX984" s="7"/>
      <c r="HY984" s="7"/>
      <c r="HZ984" s="7"/>
      <c r="IA984" s="7"/>
      <c r="IB984" s="7"/>
      <c r="IC984" s="7"/>
      <c r="ID984" s="7"/>
      <c r="IE984" s="7"/>
      <c r="IF984" s="7"/>
      <c r="IG984" s="7"/>
      <c r="IH984" s="7"/>
      <c r="II984" s="7"/>
      <c r="IJ984" s="7"/>
      <c r="IK984" s="7"/>
      <c r="IL984" s="7"/>
      <c r="IM984" s="7"/>
      <c r="IN984" s="7"/>
      <c r="IO984" s="7"/>
      <c r="IP984" s="7"/>
      <c r="IQ984" s="7"/>
      <c r="IR984" s="7"/>
      <c r="IS984" s="7"/>
      <c r="IT984" s="7"/>
      <c r="IU984" s="7"/>
      <c r="IV984" s="7"/>
      <c r="IW984" s="7"/>
      <c r="IX984" s="7"/>
    </row>
    <row r="985" spans="1:258" s="59" customFormat="1" ht="25.2" customHeight="1" x14ac:dyDescent="0.3">
      <c r="A985" s="46" t="s">
        <v>1776</v>
      </c>
      <c r="B985" s="49" t="s">
        <v>767</v>
      </c>
      <c r="C985" s="2">
        <f t="shared" si="247"/>
        <v>4015680</v>
      </c>
      <c r="D985" s="3">
        <f t="shared" si="248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2">
        <v>902.4</v>
      </c>
      <c r="N985" s="3">
        <f>M985*4450</f>
        <v>4015680</v>
      </c>
      <c r="O985" s="3">
        <v>0</v>
      </c>
      <c r="P985" s="3">
        <v>0</v>
      </c>
      <c r="Q985" s="3">
        <v>0</v>
      </c>
      <c r="R985" s="3">
        <f t="shared" si="256"/>
        <v>0</v>
      </c>
      <c r="S985" s="3">
        <v>0</v>
      </c>
      <c r="T985" s="32">
        <v>0</v>
      </c>
      <c r="U985" s="3">
        <v>0</v>
      </c>
      <c r="V985" s="6">
        <f t="shared" si="249"/>
        <v>4450</v>
      </c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  <c r="GT985" s="7"/>
      <c r="GU985" s="7"/>
      <c r="GV985" s="7"/>
      <c r="GW985" s="7"/>
      <c r="GX985" s="7"/>
      <c r="GY985" s="7"/>
      <c r="GZ985" s="7"/>
      <c r="HA985" s="7"/>
      <c r="HB985" s="7"/>
      <c r="HC985" s="7"/>
      <c r="HD985" s="7"/>
      <c r="HE985" s="7"/>
      <c r="HF985" s="7"/>
      <c r="HG985" s="7"/>
      <c r="HH985" s="7"/>
      <c r="HI985" s="7"/>
      <c r="HJ985" s="7"/>
      <c r="HK985" s="7"/>
      <c r="HL985" s="7"/>
      <c r="HM985" s="7"/>
      <c r="HN985" s="7"/>
      <c r="HO985" s="7"/>
      <c r="HP985" s="7"/>
      <c r="HQ985" s="7"/>
      <c r="HR985" s="7"/>
      <c r="HS985" s="7"/>
      <c r="HT985" s="7"/>
      <c r="HU985" s="7"/>
      <c r="HV985" s="7"/>
      <c r="HW985" s="7"/>
      <c r="HX985" s="7"/>
      <c r="HY985" s="7"/>
      <c r="HZ985" s="7"/>
      <c r="IA985" s="7"/>
      <c r="IB985" s="7"/>
      <c r="IC985" s="7"/>
      <c r="ID985" s="7"/>
      <c r="IE985" s="7"/>
      <c r="IF985" s="7"/>
      <c r="IG985" s="7"/>
      <c r="IH985" s="7"/>
      <c r="II985" s="7"/>
      <c r="IJ985" s="7"/>
      <c r="IK985" s="7"/>
      <c r="IL985" s="7"/>
      <c r="IM985" s="7"/>
      <c r="IN985" s="7"/>
      <c r="IO985" s="7"/>
      <c r="IP985" s="7"/>
      <c r="IQ985" s="7"/>
      <c r="IR985" s="7"/>
      <c r="IS985" s="7"/>
      <c r="IT985" s="7"/>
      <c r="IU985" s="7"/>
      <c r="IV985" s="7"/>
      <c r="IW985" s="7"/>
      <c r="IX985" s="7"/>
    </row>
    <row r="986" spans="1:258" ht="25.2" customHeight="1" x14ac:dyDescent="0.3">
      <c r="A986" s="46" t="s">
        <v>1777</v>
      </c>
      <c r="B986" s="54" t="s">
        <v>460</v>
      </c>
      <c r="C986" s="2">
        <f t="shared" si="247"/>
        <v>7906800</v>
      </c>
      <c r="D986" s="3">
        <f t="shared" si="248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3">
        <v>1198</v>
      </c>
      <c r="N986" s="3">
        <f t="shared" ref="N986:N991" si="257">M986*6600</f>
        <v>7906800</v>
      </c>
      <c r="O986" s="3">
        <v>0</v>
      </c>
      <c r="P986" s="3">
        <v>0</v>
      </c>
      <c r="Q986" s="3">
        <v>0</v>
      </c>
      <c r="R986" s="3">
        <f t="shared" si="256"/>
        <v>0</v>
      </c>
      <c r="S986" s="3">
        <v>0</v>
      </c>
      <c r="T986" s="3">
        <v>0</v>
      </c>
      <c r="U986" s="3">
        <v>0</v>
      </c>
      <c r="V986" s="6">
        <f t="shared" si="249"/>
        <v>6600</v>
      </c>
    </row>
    <row r="987" spans="1:258" ht="25.2" customHeight="1" x14ac:dyDescent="0.3">
      <c r="A987" s="46" t="s">
        <v>1778</v>
      </c>
      <c r="B987" s="54" t="s">
        <v>768</v>
      </c>
      <c r="C987" s="2">
        <f t="shared" si="247"/>
        <v>3841860</v>
      </c>
      <c r="D987" s="3">
        <f t="shared" si="248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32">
        <v>582.1</v>
      </c>
      <c r="N987" s="3">
        <f t="shared" si="257"/>
        <v>3841860</v>
      </c>
      <c r="O987" s="3">
        <v>0</v>
      </c>
      <c r="P987" s="3">
        <v>0</v>
      </c>
      <c r="Q987" s="3">
        <v>0</v>
      </c>
      <c r="R987" s="3">
        <f t="shared" si="256"/>
        <v>0</v>
      </c>
      <c r="S987" s="3">
        <v>0</v>
      </c>
      <c r="T987" s="32">
        <v>0</v>
      </c>
      <c r="U987" s="3">
        <v>0</v>
      </c>
      <c r="V987" s="6">
        <f t="shared" si="249"/>
        <v>6600</v>
      </c>
    </row>
    <row r="988" spans="1:258" ht="25.2" customHeight="1" x14ac:dyDescent="0.3">
      <c r="A988" s="46" t="s">
        <v>1779</v>
      </c>
      <c r="B988" s="54" t="s">
        <v>769</v>
      </c>
      <c r="C988" s="2">
        <f t="shared" ref="C988:C1051" si="258">D988+L988+N988+P988+R988+S988+T988+U988</f>
        <v>3882120.0000000005</v>
      </c>
      <c r="D988" s="3">
        <f t="shared" ref="D988:D1051" si="259">SUM(E988:J988)</f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32">
        <v>588.20000000000005</v>
      </c>
      <c r="N988" s="3">
        <f t="shared" si="257"/>
        <v>3882120.0000000005</v>
      </c>
      <c r="O988" s="3">
        <v>0</v>
      </c>
      <c r="P988" s="3">
        <v>0</v>
      </c>
      <c r="Q988" s="3">
        <v>0</v>
      </c>
      <c r="R988" s="3">
        <f t="shared" si="256"/>
        <v>0</v>
      </c>
      <c r="S988" s="3">
        <v>0</v>
      </c>
      <c r="T988" s="32">
        <v>0</v>
      </c>
      <c r="U988" s="3">
        <v>0</v>
      </c>
      <c r="V988" s="6">
        <f t="shared" ref="V988:V1051" si="260">N988/M988</f>
        <v>6600</v>
      </c>
    </row>
    <row r="989" spans="1:258" ht="25.2" customHeight="1" x14ac:dyDescent="0.3">
      <c r="A989" s="46" t="s">
        <v>1780</v>
      </c>
      <c r="B989" s="54" t="s">
        <v>770</v>
      </c>
      <c r="C989" s="2">
        <f t="shared" si="258"/>
        <v>3890700</v>
      </c>
      <c r="D989" s="3">
        <f t="shared" si="259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32">
        <v>589.5</v>
      </c>
      <c r="N989" s="3">
        <f t="shared" si="257"/>
        <v>3890700</v>
      </c>
      <c r="O989" s="3">
        <v>0</v>
      </c>
      <c r="P989" s="3">
        <v>0</v>
      </c>
      <c r="Q989" s="3">
        <v>0</v>
      </c>
      <c r="R989" s="3">
        <f t="shared" si="256"/>
        <v>0</v>
      </c>
      <c r="S989" s="3">
        <v>0</v>
      </c>
      <c r="T989" s="32">
        <v>0</v>
      </c>
      <c r="U989" s="3">
        <v>0</v>
      </c>
      <c r="V989" s="6">
        <f t="shared" si="260"/>
        <v>6600</v>
      </c>
    </row>
    <row r="990" spans="1:258" s="73" customFormat="1" ht="25.2" customHeight="1" x14ac:dyDescent="0.3">
      <c r="A990" s="46" t="s">
        <v>1781</v>
      </c>
      <c r="B990" s="49" t="s">
        <v>697</v>
      </c>
      <c r="C990" s="2">
        <f t="shared" si="258"/>
        <v>3433979.9999999995</v>
      </c>
      <c r="D990" s="3">
        <f t="shared" si="259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2">
        <v>520.29999999999995</v>
      </c>
      <c r="N990" s="3">
        <f t="shared" si="257"/>
        <v>3433979.9999999995</v>
      </c>
      <c r="O990" s="3">
        <v>0</v>
      </c>
      <c r="P990" s="3">
        <v>0</v>
      </c>
      <c r="Q990" s="3">
        <v>0</v>
      </c>
      <c r="R990" s="3">
        <f t="shared" si="256"/>
        <v>0</v>
      </c>
      <c r="S990" s="3">
        <v>0</v>
      </c>
      <c r="T990" s="32">
        <v>0</v>
      </c>
      <c r="U990" s="3">
        <v>0</v>
      </c>
      <c r="V990" s="6">
        <f t="shared" si="260"/>
        <v>6600</v>
      </c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7"/>
      <c r="DZ990" s="7"/>
      <c r="EA990" s="7"/>
      <c r="EB990" s="7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  <c r="GJ990" s="7"/>
      <c r="GK990" s="7"/>
      <c r="GL990" s="7"/>
      <c r="GM990" s="7"/>
      <c r="GN990" s="7"/>
      <c r="GO990" s="7"/>
      <c r="GP990" s="7"/>
      <c r="GQ990" s="7"/>
      <c r="GR990" s="7"/>
      <c r="GS990" s="7"/>
      <c r="GT990" s="7"/>
      <c r="GU990" s="7"/>
      <c r="GV990" s="7"/>
      <c r="GW990" s="7"/>
      <c r="GX990" s="7"/>
      <c r="GY990" s="7"/>
      <c r="GZ990" s="7"/>
      <c r="HA990" s="7"/>
      <c r="HB990" s="7"/>
      <c r="HC990" s="7"/>
      <c r="HD990" s="7"/>
      <c r="HE990" s="7"/>
      <c r="HF990" s="7"/>
      <c r="HG990" s="7"/>
      <c r="HH990" s="7"/>
      <c r="HI990" s="7"/>
      <c r="HJ990" s="7"/>
      <c r="HK990" s="7"/>
      <c r="HL990" s="7"/>
      <c r="HM990" s="7"/>
      <c r="HN990" s="7"/>
      <c r="HO990" s="7"/>
      <c r="HP990" s="7"/>
      <c r="HQ990" s="7"/>
      <c r="HR990" s="7"/>
      <c r="HS990" s="7"/>
      <c r="HT990" s="7"/>
      <c r="HU990" s="7"/>
      <c r="HV990" s="7"/>
      <c r="HW990" s="7"/>
      <c r="HX990" s="7"/>
      <c r="HY990" s="7"/>
      <c r="HZ990" s="7"/>
      <c r="IA990" s="7"/>
      <c r="IB990" s="7"/>
      <c r="IC990" s="7"/>
      <c r="ID990" s="7"/>
      <c r="IE990" s="7"/>
      <c r="IF990" s="7"/>
      <c r="IG990" s="7"/>
      <c r="IH990" s="7"/>
      <c r="II990" s="7"/>
      <c r="IJ990" s="7"/>
      <c r="IK990" s="7"/>
      <c r="IL990" s="7"/>
      <c r="IM990" s="7"/>
      <c r="IN990" s="7"/>
      <c r="IO990" s="7"/>
      <c r="IP990" s="7"/>
      <c r="IQ990" s="7"/>
      <c r="IR990" s="7"/>
      <c r="IS990" s="7"/>
      <c r="IT990" s="7"/>
      <c r="IU990" s="7"/>
      <c r="IV990" s="7"/>
      <c r="IW990" s="7"/>
      <c r="IX990" s="7"/>
    </row>
    <row r="991" spans="1:258" ht="25.2" customHeight="1" x14ac:dyDescent="0.3">
      <c r="A991" s="46" t="s">
        <v>1782</v>
      </c>
      <c r="B991" s="49" t="s">
        <v>485</v>
      </c>
      <c r="C991" s="2">
        <f t="shared" si="258"/>
        <v>5353320</v>
      </c>
      <c r="D991" s="3">
        <f t="shared" si="259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472.2</v>
      </c>
      <c r="N991" s="3">
        <f t="shared" si="257"/>
        <v>3116520</v>
      </c>
      <c r="O991" s="3">
        <v>0</v>
      </c>
      <c r="P991" s="3">
        <v>0</v>
      </c>
      <c r="Q991" s="3">
        <v>699</v>
      </c>
      <c r="R991" s="3">
        <f t="shared" si="256"/>
        <v>2236800</v>
      </c>
      <c r="S991" s="3">
        <v>0</v>
      </c>
      <c r="T991" s="3">
        <v>0</v>
      </c>
      <c r="U991" s="3">
        <v>0</v>
      </c>
      <c r="V991" s="6">
        <f t="shared" si="260"/>
        <v>6600</v>
      </c>
    </row>
    <row r="992" spans="1:258" ht="24.6" customHeight="1" x14ac:dyDescent="0.3">
      <c r="A992" s="46" t="s">
        <v>1783</v>
      </c>
      <c r="B992" s="49" t="s">
        <v>486</v>
      </c>
      <c r="C992" s="2">
        <f t="shared" si="258"/>
        <v>1733088</v>
      </c>
      <c r="D992" s="3">
        <f t="shared" si="259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541.59</v>
      </c>
      <c r="R992" s="3">
        <f t="shared" si="256"/>
        <v>1733088</v>
      </c>
      <c r="S992" s="3">
        <v>0</v>
      </c>
      <c r="T992" s="3">
        <v>0</v>
      </c>
      <c r="U992" s="3">
        <v>0</v>
      </c>
      <c r="V992" s="6" t="e">
        <f t="shared" si="260"/>
        <v>#DIV/0!</v>
      </c>
    </row>
    <row r="993" spans="1:258" ht="25.2" customHeight="1" x14ac:dyDescent="0.3">
      <c r="A993" s="46" t="s">
        <v>1784</v>
      </c>
      <c r="B993" s="55" t="s">
        <v>859</v>
      </c>
      <c r="C993" s="2">
        <f t="shared" si="258"/>
        <v>231420</v>
      </c>
      <c r="D993" s="3">
        <f t="shared" si="259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0</v>
      </c>
      <c r="N993" s="3">
        <v>0</v>
      </c>
      <c r="O993" s="3">
        <v>110.2</v>
      </c>
      <c r="P993" s="3">
        <v>231420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6" t="e">
        <f t="shared" si="260"/>
        <v>#DIV/0!</v>
      </c>
    </row>
    <row r="994" spans="1:258" s="73" customFormat="1" ht="25.2" customHeight="1" x14ac:dyDescent="0.3">
      <c r="A994" s="46" t="s">
        <v>1785</v>
      </c>
      <c r="B994" s="49" t="s">
        <v>698</v>
      </c>
      <c r="C994" s="2">
        <f t="shared" si="258"/>
        <v>3382500</v>
      </c>
      <c r="D994" s="3">
        <f t="shared" si="259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3">
        <v>512.5</v>
      </c>
      <c r="N994" s="3">
        <f>M994*6600</f>
        <v>3382500</v>
      </c>
      <c r="O994" s="3">
        <v>0</v>
      </c>
      <c r="P994" s="3">
        <v>0</v>
      </c>
      <c r="Q994" s="3">
        <v>0</v>
      </c>
      <c r="R994" s="3">
        <f>Q994*3200</f>
        <v>0</v>
      </c>
      <c r="S994" s="3">
        <v>0</v>
      </c>
      <c r="T994" s="32">
        <v>0</v>
      </c>
      <c r="U994" s="3">
        <v>0</v>
      </c>
      <c r="V994" s="6">
        <f t="shared" si="260"/>
        <v>6600</v>
      </c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7"/>
      <c r="DZ994" s="7"/>
      <c r="EA994" s="7"/>
      <c r="EB994" s="7"/>
      <c r="EC994" s="7"/>
      <c r="ED994" s="7"/>
      <c r="EE994" s="7"/>
      <c r="EF994" s="7"/>
      <c r="EG994" s="7"/>
      <c r="EH994" s="7"/>
      <c r="EI994" s="7"/>
      <c r="EJ994" s="7"/>
      <c r="EK994" s="7"/>
      <c r="EL994" s="7"/>
      <c r="EM994" s="7"/>
      <c r="EN994" s="7"/>
      <c r="EO994" s="7"/>
      <c r="EP994" s="7"/>
      <c r="EQ994" s="7"/>
      <c r="ER994" s="7"/>
      <c r="ES994" s="7"/>
      <c r="ET994" s="7"/>
      <c r="EU994" s="7"/>
      <c r="EV994" s="7"/>
      <c r="EW994" s="7"/>
      <c r="EX994" s="7"/>
      <c r="EY994" s="7"/>
      <c r="EZ994" s="7"/>
      <c r="FA994" s="7"/>
      <c r="FB994" s="7"/>
      <c r="FC994" s="7"/>
      <c r="FD994" s="7"/>
      <c r="FE994" s="7"/>
      <c r="FF994" s="7"/>
      <c r="FG994" s="7"/>
      <c r="FH994" s="7"/>
      <c r="FI994" s="7"/>
      <c r="FJ994" s="7"/>
      <c r="FK994" s="7"/>
      <c r="FL994" s="7"/>
      <c r="FM994" s="7"/>
      <c r="FN994" s="7"/>
      <c r="FO994" s="7"/>
      <c r="FP994" s="7"/>
      <c r="FQ994" s="7"/>
      <c r="FR994" s="7"/>
      <c r="FS994" s="7"/>
      <c r="FT994" s="7"/>
      <c r="FU994" s="7"/>
      <c r="FV994" s="7"/>
      <c r="FW994" s="7"/>
      <c r="FX994" s="7"/>
      <c r="FY994" s="7"/>
      <c r="FZ994" s="7"/>
      <c r="GA994" s="7"/>
      <c r="GB994" s="7"/>
      <c r="GC994" s="7"/>
      <c r="GD994" s="7"/>
      <c r="GE994" s="7"/>
      <c r="GF994" s="7"/>
      <c r="GG994" s="7"/>
      <c r="GH994" s="7"/>
      <c r="GI994" s="7"/>
      <c r="GJ994" s="7"/>
      <c r="GK994" s="7"/>
      <c r="GL994" s="7"/>
      <c r="GM994" s="7"/>
      <c r="GN994" s="7"/>
      <c r="GO994" s="7"/>
      <c r="GP994" s="7"/>
      <c r="GQ994" s="7"/>
      <c r="GR994" s="7"/>
      <c r="GS994" s="7"/>
      <c r="GT994" s="7"/>
      <c r="GU994" s="7"/>
      <c r="GV994" s="7"/>
      <c r="GW994" s="7"/>
      <c r="GX994" s="7"/>
      <c r="GY994" s="7"/>
      <c r="GZ994" s="7"/>
      <c r="HA994" s="7"/>
      <c r="HB994" s="7"/>
      <c r="HC994" s="7"/>
      <c r="HD994" s="7"/>
      <c r="HE994" s="7"/>
      <c r="HF994" s="7"/>
      <c r="HG994" s="7"/>
      <c r="HH994" s="7"/>
      <c r="HI994" s="7"/>
      <c r="HJ994" s="7"/>
      <c r="HK994" s="7"/>
      <c r="HL994" s="7"/>
      <c r="HM994" s="7"/>
      <c r="HN994" s="7"/>
      <c r="HO994" s="7"/>
      <c r="HP994" s="7"/>
      <c r="HQ994" s="7"/>
      <c r="HR994" s="7"/>
      <c r="HS994" s="7"/>
      <c r="HT994" s="7"/>
      <c r="HU994" s="7"/>
      <c r="HV994" s="7"/>
      <c r="HW994" s="7"/>
      <c r="HX994" s="7"/>
      <c r="HY994" s="7"/>
      <c r="HZ994" s="7"/>
      <c r="IA994" s="7"/>
      <c r="IB994" s="7"/>
      <c r="IC994" s="7"/>
      <c r="ID994" s="7"/>
      <c r="IE994" s="7"/>
      <c r="IF994" s="7"/>
      <c r="IG994" s="7"/>
      <c r="IH994" s="7"/>
      <c r="II994" s="7"/>
      <c r="IJ994" s="7"/>
      <c r="IK994" s="7"/>
      <c r="IL994" s="7"/>
      <c r="IM994" s="7"/>
      <c r="IN994" s="7"/>
      <c r="IO994" s="7"/>
      <c r="IP994" s="7"/>
      <c r="IQ994" s="7"/>
      <c r="IR994" s="7"/>
      <c r="IS994" s="7"/>
      <c r="IT994" s="7"/>
      <c r="IU994" s="7"/>
      <c r="IV994" s="7"/>
      <c r="IW994" s="7"/>
      <c r="IX994" s="7"/>
    </row>
    <row r="995" spans="1:258" ht="25.2" customHeight="1" x14ac:dyDescent="0.3">
      <c r="A995" s="46" t="s">
        <v>1786</v>
      </c>
      <c r="B995" s="49" t="s">
        <v>377</v>
      </c>
      <c r="C995" s="2">
        <f t="shared" si="258"/>
        <v>5148400</v>
      </c>
      <c r="D995" s="3">
        <f t="shared" si="259"/>
        <v>4298400</v>
      </c>
      <c r="E995" s="3">
        <f>700*1432.8</f>
        <v>1002960</v>
      </c>
      <c r="F995" s="3">
        <f>1300*1432.8</f>
        <v>1862640</v>
      </c>
      <c r="G995" s="3">
        <f>300*1432.8</f>
        <v>429840</v>
      </c>
      <c r="H995" s="3">
        <f>400*1432.8</f>
        <v>573120</v>
      </c>
      <c r="I995" s="3">
        <f>300*1432.8</f>
        <v>429840</v>
      </c>
      <c r="J995" s="3">
        <f>800*0</f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850000</v>
      </c>
      <c r="V995" s="6" t="e">
        <f t="shared" si="260"/>
        <v>#DIV/0!</v>
      </c>
    </row>
    <row r="996" spans="1:258" ht="25.2" customHeight="1" x14ac:dyDescent="0.3">
      <c r="A996" s="46" t="s">
        <v>1787</v>
      </c>
      <c r="B996" s="49" t="s">
        <v>699</v>
      </c>
      <c r="C996" s="2">
        <f t="shared" si="258"/>
        <v>1980000</v>
      </c>
      <c r="D996" s="3">
        <f t="shared" si="259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3">
        <v>300</v>
      </c>
      <c r="N996" s="3">
        <f>M996*6600</f>
        <v>1980000</v>
      </c>
      <c r="O996" s="3">
        <v>0</v>
      </c>
      <c r="P996" s="3">
        <v>0</v>
      </c>
      <c r="Q996" s="3">
        <v>0</v>
      </c>
      <c r="R996" s="3">
        <f t="shared" ref="R996:R1002" si="261">Q996*3200</f>
        <v>0</v>
      </c>
      <c r="S996" s="3">
        <v>0</v>
      </c>
      <c r="T996" s="32">
        <v>0</v>
      </c>
      <c r="U996" s="3">
        <v>0</v>
      </c>
      <c r="V996" s="6">
        <f t="shared" si="260"/>
        <v>6600</v>
      </c>
    </row>
    <row r="997" spans="1:258" ht="25.2" customHeight="1" x14ac:dyDescent="0.3">
      <c r="A997" s="46" t="s">
        <v>1788</v>
      </c>
      <c r="B997" s="49" t="s">
        <v>700</v>
      </c>
      <c r="C997" s="2">
        <f t="shared" si="258"/>
        <v>1980000</v>
      </c>
      <c r="D997" s="3">
        <f t="shared" si="259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4">
        <v>0</v>
      </c>
      <c r="L997" s="3">
        <v>0</v>
      </c>
      <c r="M997" s="3">
        <v>300</v>
      </c>
      <c r="N997" s="3">
        <f>M997*6600</f>
        <v>1980000</v>
      </c>
      <c r="O997" s="3">
        <v>0</v>
      </c>
      <c r="P997" s="3">
        <v>0</v>
      </c>
      <c r="Q997" s="3">
        <v>0</v>
      </c>
      <c r="R997" s="3">
        <f t="shared" si="261"/>
        <v>0</v>
      </c>
      <c r="S997" s="3">
        <v>0</v>
      </c>
      <c r="T997" s="32">
        <v>0</v>
      </c>
      <c r="U997" s="3">
        <v>0</v>
      </c>
      <c r="V997" s="6">
        <f t="shared" si="260"/>
        <v>6600</v>
      </c>
    </row>
    <row r="998" spans="1:258" ht="25.2" customHeight="1" x14ac:dyDescent="0.3">
      <c r="A998" s="46" t="s">
        <v>1789</v>
      </c>
      <c r="B998" s="49" t="s">
        <v>804</v>
      </c>
      <c r="C998" s="2">
        <f t="shared" si="258"/>
        <v>4436205</v>
      </c>
      <c r="D998" s="3">
        <f t="shared" si="259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32">
        <v>996.9</v>
      </c>
      <c r="N998" s="3">
        <f>M998*4450</f>
        <v>4436205</v>
      </c>
      <c r="O998" s="3">
        <v>0</v>
      </c>
      <c r="P998" s="3">
        <v>0</v>
      </c>
      <c r="Q998" s="3">
        <v>0</v>
      </c>
      <c r="R998" s="3">
        <f t="shared" si="261"/>
        <v>0</v>
      </c>
      <c r="S998" s="3">
        <v>0</v>
      </c>
      <c r="T998" s="32">
        <v>0</v>
      </c>
      <c r="U998" s="3">
        <v>0</v>
      </c>
      <c r="V998" s="6">
        <f t="shared" si="260"/>
        <v>4450</v>
      </c>
      <c r="W998" s="59"/>
      <c r="X998" s="59"/>
      <c r="Y998" s="59"/>
      <c r="Z998" s="59"/>
      <c r="AA998" s="59"/>
      <c r="AB998" s="59"/>
      <c r="AC998" s="59"/>
      <c r="AD998" s="59"/>
      <c r="AE998" s="59"/>
      <c r="AF998" s="59"/>
      <c r="AG998" s="59"/>
      <c r="AH998" s="59"/>
      <c r="AI998" s="59"/>
      <c r="AJ998" s="59"/>
      <c r="AK998" s="59"/>
      <c r="AL998" s="59"/>
      <c r="AM998" s="59"/>
      <c r="AN998" s="59"/>
      <c r="AO998" s="59"/>
      <c r="AP998" s="59"/>
      <c r="AQ998" s="59"/>
      <c r="AR998" s="59"/>
      <c r="AS998" s="59"/>
      <c r="AT998" s="59"/>
      <c r="AU998" s="59"/>
      <c r="AV998" s="59"/>
      <c r="AW998" s="59"/>
      <c r="AX998" s="59"/>
      <c r="AY998" s="59"/>
      <c r="AZ998" s="59"/>
      <c r="BA998" s="59"/>
      <c r="BB998" s="59"/>
      <c r="BC998" s="59"/>
      <c r="BD998" s="59"/>
      <c r="BE998" s="59"/>
      <c r="BF998" s="59"/>
      <c r="BG998" s="59"/>
      <c r="BH998" s="59"/>
      <c r="BI998" s="59"/>
      <c r="BJ998" s="59"/>
      <c r="BK998" s="59"/>
      <c r="BL998" s="59"/>
      <c r="BM998" s="59"/>
      <c r="BN998" s="59"/>
      <c r="BO998" s="59"/>
      <c r="BP998" s="59"/>
      <c r="BQ998" s="59"/>
      <c r="BR998" s="59"/>
      <c r="BS998" s="59"/>
      <c r="BT998" s="59"/>
      <c r="BU998" s="59"/>
      <c r="BV998" s="59"/>
      <c r="BW998" s="59"/>
      <c r="BX998" s="59"/>
      <c r="BY998" s="59"/>
      <c r="BZ998" s="59"/>
      <c r="CA998" s="59"/>
      <c r="CB998" s="59"/>
      <c r="CC998" s="59"/>
      <c r="CD998" s="59"/>
      <c r="CE998" s="59"/>
      <c r="CF998" s="59"/>
      <c r="CG998" s="59"/>
      <c r="CH998" s="59"/>
      <c r="CI998" s="59"/>
      <c r="CJ998" s="59"/>
      <c r="CK998" s="59"/>
      <c r="CL998" s="59"/>
      <c r="CM998" s="59"/>
      <c r="CN998" s="59"/>
      <c r="CO998" s="59"/>
      <c r="CP998" s="59"/>
      <c r="CQ998" s="59"/>
      <c r="CR998" s="59"/>
      <c r="CS998" s="59"/>
      <c r="CT998" s="59"/>
      <c r="CU998" s="59"/>
      <c r="CV998" s="59"/>
      <c r="CW998" s="59"/>
      <c r="CX998" s="59"/>
      <c r="CY998" s="59"/>
      <c r="CZ998" s="59"/>
      <c r="DA998" s="59"/>
      <c r="DB998" s="59"/>
      <c r="DC998" s="59"/>
      <c r="DD998" s="59"/>
      <c r="DE998" s="59"/>
      <c r="DF998" s="59"/>
      <c r="DG998" s="59"/>
      <c r="DH998" s="59"/>
      <c r="DI998" s="59"/>
      <c r="DJ998" s="59"/>
      <c r="DK998" s="59"/>
      <c r="DL998" s="59"/>
      <c r="DM998" s="59"/>
      <c r="DN998" s="59"/>
      <c r="DO998" s="59"/>
      <c r="DP998" s="59"/>
      <c r="DQ998" s="59"/>
      <c r="DR998" s="59"/>
      <c r="DS998" s="59"/>
      <c r="DT998" s="59"/>
      <c r="DU998" s="59"/>
      <c r="DV998" s="59"/>
      <c r="DW998" s="59"/>
      <c r="DX998" s="59"/>
      <c r="DY998" s="59"/>
      <c r="DZ998" s="59"/>
      <c r="EA998" s="59"/>
      <c r="EB998" s="59"/>
      <c r="EC998" s="59"/>
      <c r="ED998" s="59"/>
      <c r="EE998" s="59"/>
      <c r="EF998" s="59"/>
      <c r="EG998" s="59"/>
      <c r="EH998" s="59"/>
      <c r="EI998" s="59"/>
      <c r="EJ998" s="59"/>
      <c r="EK998" s="59"/>
      <c r="EL998" s="59"/>
      <c r="EM998" s="59"/>
      <c r="EN998" s="59"/>
      <c r="EO998" s="59"/>
      <c r="EP998" s="59"/>
      <c r="EQ998" s="59"/>
      <c r="ER998" s="59"/>
      <c r="ES998" s="59"/>
      <c r="ET998" s="59"/>
      <c r="EU998" s="59"/>
      <c r="EV998" s="59"/>
      <c r="EW998" s="59"/>
      <c r="EX998" s="59"/>
      <c r="EY998" s="59"/>
      <c r="EZ998" s="59"/>
      <c r="FA998" s="59"/>
      <c r="FB998" s="59"/>
      <c r="FC998" s="59"/>
      <c r="FD998" s="59"/>
      <c r="FE998" s="59"/>
      <c r="FF998" s="59"/>
      <c r="FG998" s="59"/>
      <c r="FH998" s="59"/>
      <c r="FI998" s="59"/>
      <c r="FJ998" s="59"/>
      <c r="FK998" s="59"/>
      <c r="FL998" s="59"/>
      <c r="FM998" s="59"/>
      <c r="FN998" s="59"/>
      <c r="FO998" s="59"/>
      <c r="FP998" s="59"/>
      <c r="FQ998" s="59"/>
      <c r="FR998" s="59"/>
      <c r="FS998" s="59"/>
      <c r="FT998" s="59"/>
      <c r="FU998" s="59"/>
      <c r="FV998" s="59"/>
      <c r="FW998" s="59"/>
      <c r="FX998" s="59"/>
      <c r="FY998" s="59"/>
      <c r="FZ998" s="59"/>
      <c r="GA998" s="59"/>
      <c r="GB998" s="59"/>
      <c r="GC998" s="59"/>
      <c r="GD998" s="59"/>
      <c r="GE998" s="59"/>
      <c r="GF998" s="59"/>
      <c r="GG998" s="59"/>
      <c r="GH998" s="59"/>
      <c r="GI998" s="59"/>
      <c r="GJ998" s="59"/>
      <c r="GK998" s="59"/>
      <c r="GL998" s="59"/>
      <c r="GM998" s="59"/>
      <c r="GN998" s="59"/>
      <c r="GO998" s="59"/>
      <c r="GP998" s="59"/>
      <c r="GQ998" s="59"/>
      <c r="GR998" s="59"/>
      <c r="GS998" s="59"/>
      <c r="GT998" s="59"/>
      <c r="GU998" s="59"/>
      <c r="GV998" s="59"/>
      <c r="GW998" s="59"/>
      <c r="GX998" s="59"/>
      <c r="GY998" s="59"/>
      <c r="GZ998" s="59"/>
      <c r="HA998" s="59"/>
      <c r="HB998" s="59"/>
      <c r="HC998" s="59"/>
      <c r="HD998" s="59"/>
      <c r="HE998" s="59"/>
      <c r="HF998" s="59"/>
      <c r="HG998" s="59"/>
      <c r="HH998" s="59"/>
      <c r="HI998" s="59"/>
      <c r="HJ998" s="59"/>
      <c r="HK998" s="59"/>
      <c r="HL998" s="59"/>
      <c r="HM998" s="59"/>
      <c r="HN998" s="59"/>
      <c r="HO998" s="59"/>
      <c r="HP998" s="59"/>
      <c r="HQ998" s="59"/>
      <c r="HR998" s="59"/>
      <c r="HS998" s="59"/>
      <c r="HT998" s="59"/>
      <c r="HU998" s="59"/>
      <c r="HV998" s="59"/>
      <c r="HW998" s="59"/>
      <c r="HX998" s="59"/>
      <c r="HY998" s="59"/>
      <c r="HZ998" s="59"/>
      <c r="IA998" s="59"/>
      <c r="IB998" s="59"/>
      <c r="IC998" s="59"/>
      <c r="ID998" s="59"/>
      <c r="IE998" s="59"/>
      <c r="IF998" s="59"/>
      <c r="IG998" s="59"/>
      <c r="IH998" s="59"/>
      <c r="II998" s="59"/>
      <c r="IJ998" s="59"/>
      <c r="IK998" s="59"/>
      <c r="IL998" s="59"/>
      <c r="IM998" s="59"/>
      <c r="IN998" s="59"/>
      <c r="IO998" s="59"/>
      <c r="IP998" s="59"/>
      <c r="IQ998" s="59"/>
      <c r="IR998" s="59"/>
      <c r="IS998" s="59"/>
      <c r="IT998" s="59"/>
      <c r="IU998" s="59"/>
      <c r="IV998" s="59"/>
      <c r="IW998" s="59"/>
      <c r="IX998" s="59"/>
    </row>
    <row r="999" spans="1:258" ht="25.2" customHeight="1" x14ac:dyDescent="0.3">
      <c r="A999" s="46" t="s">
        <v>1790</v>
      </c>
      <c r="B999" s="49" t="s">
        <v>701</v>
      </c>
      <c r="C999" s="2">
        <f t="shared" si="258"/>
        <v>3352800</v>
      </c>
      <c r="D999" s="3">
        <f t="shared" si="259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3">
        <v>508</v>
      </c>
      <c r="N999" s="3">
        <f>M999*6600</f>
        <v>3352800</v>
      </c>
      <c r="O999" s="3">
        <v>0</v>
      </c>
      <c r="P999" s="3">
        <v>0</v>
      </c>
      <c r="Q999" s="3">
        <v>0</v>
      </c>
      <c r="R999" s="3">
        <f t="shared" si="261"/>
        <v>0</v>
      </c>
      <c r="S999" s="3">
        <v>0</v>
      </c>
      <c r="T999" s="32">
        <v>0</v>
      </c>
      <c r="U999" s="3">
        <v>0</v>
      </c>
      <c r="V999" s="6">
        <f t="shared" si="260"/>
        <v>6600</v>
      </c>
    </row>
    <row r="1000" spans="1:258" ht="25.2" customHeight="1" x14ac:dyDescent="0.3">
      <c r="A1000" s="46" t="s">
        <v>1791</v>
      </c>
      <c r="B1000" s="49" t="s">
        <v>771</v>
      </c>
      <c r="C1000" s="2">
        <f t="shared" si="258"/>
        <v>1650000</v>
      </c>
      <c r="D1000" s="3">
        <f t="shared" si="259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32">
        <v>250</v>
      </c>
      <c r="N1000" s="3">
        <f>M1000*6600</f>
        <v>1650000</v>
      </c>
      <c r="O1000" s="3">
        <v>0</v>
      </c>
      <c r="P1000" s="3">
        <v>0</v>
      </c>
      <c r="Q1000" s="3">
        <v>0</v>
      </c>
      <c r="R1000" s="3">
        <f t="shared" si="261"/>
        <v>0</v>
      </c>
      <c r="S1000" s="3">
        <v>0</v>
      </c>
      <c r="T1000" s="32">
        <v>0</v>
      </c>
      <c r="U1000" s="3">
        <v>0</v>
      </c>
      <c r="V1000" s="6">
        <f t="shared" si="260"/>
        <v>6600</v>
      </c>
    </row>
    <row r="1001" spans="1:258" ht="25.2" customHeight="1" x14ac:dyDescent="0.3">
      <c r="A1001" s="46" t="s">
        <v>1792</v>
      </c>
      <c r="B1001" s="49" t="s">
        <v>598</v>
      </c>
      <c r="C1001" s="2">
        <f t="shared" si="258"/>
        <v>1953600</v>
      </c>
      <c r="D1001" s="3">
        <f t="shared" si="259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33">
        <v>0</v>
      </c>
      <c r="L1001" s="32">
        <v>0</v>
      </c>
      <c r="M1001" s="32">
        <v>296</v>
      </c>
      <c r="N1001" s="3">
        <f>M1001*6600</f>
        <v>1953600</v>
      </c>
      <c r="O1001" s="32">
        <v>0</v>
      </c>
      <c r="P1001" s="32">
        <v>0</v>
      </c>
      <c r="Q1001" s="32">
        <v>0</v>
      </c>
      <c r="R1001" s="3">
        <f t="shared" si="261"/>
        <v>0</v>
      </c>
      <c r="S1001" s="32">
        <v>0</v>
      </c>
      <c r="T1001" s="32">
        <v>0</v>
      </c>
      <c r="U1001" s="32">
        <v>0</v>
      </c>
      <c r="V1001" s="6">
        <f t="shared" si="260"/>
        <v>6600</v>
      </c>
    </row>
    <row r="1002" spans="1:258" ht="25.2" customHeight="1" x14ac:dyDescent="0.3">
      <c r="A1002" s="46" t="s">
        <v>1978</v>
      </c>
      <c r="B1002" s="49" t="s">
        <v>599</v>
      </c>
      <c r="C1002" s="2">
        <f t="shared" si="258"/>
        <v>1947000</v>
      </c>
      <c r="D1002" s="3">
        <f t="shared" si="259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3">
        <v>0</v>
      </c>
      <c r="L1002" s="32">
        <v>0</v>
      </c>
      <c r="M1002" s="32">
        <v>295</v>
      </c>
      <c r="N1002" s="3">
        <f>M1002*6600</f>
        <v>1947000</v>
      </c>
      <c r="O1002" s="32">
        <v>0</v>
      </c>
      <c r="P1002" s="32">
        <v>0</v>
      </c>
      <c r="Q1002" s="32">
        <v>0</v>
      </c>
      <c r="R1002" s="3">
        <f t="shared" si="261"/>
        <v>0</v>
      </c>
      <c r="S1002" s="32">
        <v>0</v>
      </c>
      <c r="T1002" s="32">
        <v>0</v>
      </c>
      <c r="U1002" s="32">
        <v>0</v>
      </c>
      <c r="V1002" s="6">
        <f t="shared" si="260"/>
        <v>6600</v>
      </c>
    </row>
    <row r="1003" spans="1:258" ht="24.6" customHeight="1" x14ac:dyDescent="0.3">
      <c r="A1003" s="46" t="s">
        <v>1793</v>
      </c>
      <c r="B1003" s="49" t="s">
        <v>1814</v>
      </c>
      <c r="C1003" s="2">
        <f t="shared" si="258"/>
        <v>3326375</v>
      </c>
      <c r="D1003" s="3">
        <f t="shared" si="259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3">
        <v>0</v>
      </c>
      <c r="L1003" s="32">
        <v>0</v>
      </c>
      <c r="M1003" s="32">
        <v>747.5</v>
      </c>
      <c r="N1003" s="3">
        <f>M1003*4450</f>
        <v>3326375</v>
      </c>
      <c r="O1003" s="32">
        <v>0</v>
      </c>
      <c r="P1003" s="32">
        <v>0</v>
      </c>
      <c r="Q1003" s="32">
        <v>0</v>
      </c>
      <c r="R1003" s="3">
        <v>0</v>
      </c>
      <c r="S1003" s="32">
        <v>0</v>
      </c>
      <c r="T1003" s="32">
        <v>0</v>
      </c>
      <c r="U1003" s="32">
        <v>0</v>
      </c>
      <c r="V1003" s="6">
        <f t="shared" si="260"/>
        <v>4450</v>
      </c>
    </row>
    <row r="1004" spans="1:258" ht="24.6" customHeight="1" x14ac:dyDescent="0.3">
      <c r="A1004" s="46" t="s">
        <v>1794</v>
      </c>
      <c r="B1004" s="54" t="s">
        <v>1954</v>
      </c>
      <c r="C1004" s="2">
        <f t="shared" si="258"/>
        <v>7888320</v>
      </c>
      <c r="D1004" s="3">
        <f t="shared" si="259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3">
        <v>0</v>
      </c>
      <c r="L1004" s="32">
        <v>0</v>
      </c>
      <c r="M1004" s="32">
        <v>1195.2</v>
      </c>
      <c r="N1004" s="3">
        <f t="shared" ref="N1004:N1010" si="262">M1004*6600</f>
        <v>7888320</v>
      </c>
      <c r="O1004" s="32">
        <v>0</v>
      </c>
      <c r="P1004" s="32">
        <v>0</v>
      </c>
      <c r="Q1004" s="32">
        <v>0</v>
      </c>
      <c r="R1004" s="3">
        <v>0</v>
      </c>
      <c r="S1004" s="32">
        <v>0</v>
      </c>
      <c r="T1004" s="32">
        <v>0</v>
      </c>
      <c r="U1004" s="32">
        <v>0</v>
      </c>
      <c r="V1004" s="6">
        <f t="shared" si="260"/>
        <v>6600</v>
      </c>
    </row>
    <row r="1005" spans="1:258" ht="25.2" customHeight="1" x14ac:dyDescent="0.3">
      <c r="A1005" s="46" t="s">
        <v>1795</v>
      </c>
      <c r="B1005" s="54" t="s">
        <v>1815</v>
      </c>
      <c r="C1005" s="2">
        <f t="shared" si="258"/>
        <v>6270000</v>
      </c>
      <c r="D1005" s="3">
        <f t="shared" si="259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3">
        <v>0</v>
      </c>
      <c r="L1005" s="32">
        <v>0</v>
      </c>
      <c r="M1005" s="32">
        <v>950</v>
      </c>
      <c r="N1005" s="3">
        <f t="shared" si="262"/>
        <v>6270000</v>
      </c>
      <c r="O1005" s="32">
        <v>0</v>
      </c>
      <c r="P1005" s="32">
        <v>0</v>
      </c>
      <c r="Q1005" s="32">
        <v>0</v>
      </c>
      <c r="R1005" s="3">
        <v>0</v>
      </c>
      <c r="S1005" s="32">
        <v>0</v>
      </c>
      <c r="T1005" s="32">
        <v>0</v>
      </c>
      <c r="U1005" s="32">
        <v>0</v>
      </c>
      <c r="V1005" s="6">
        <f t="shared" si="260"/>
        <v>6600</v>
      </c>
    </row>
    <row r="1006" spans="1:258" ht="25.2" customHeight="1" x14ac:dyDescent="0.3">
      <c r="A1006" s="46" t="s">
        <v>1796</v>
      </c>
      <c r="B1006" s="54" t="s">
        <v>772</v>
      </c>
      <c r="C1006" s="2">
        <f t="shared" si="258"/>
        <v>4007520.0000000005</v>
      </c>
      <c r="D1006" s="3">
        <f t="shared" si="259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2">
        <v>607.20000000000005</v>
      </c>
      <c r="N1006" s="3">
        <f t="shared" si="262"/>
        <v>4007520.0000000005</v>
      </c>
      <c r="O1006" s="3">
        <v>0</v>
      </c>
      <c r="P1006" s="3">
        <v>0</v>
      </c>
      <c r="Q1006" s="3">
        <v>0</v>
      </c>
      <c r="R1006" s="3">
        <f>Q1006*3200</f>
        <v>0</v>
      </c>
      <c r="S1006" s="3">
        <v>0</v>
      </c>
      <c r="T1006" s="32">
        <v>0</v>
      </c>
      <c r="U1006" s="3">
        <v>0</v>
      </c>
      <c r="V1006" s="6">
        <f t="shared" si="260"/>
        <v>6600</v>
      </c>
    </row>
    <row r="1007" spans="1:258" ht="25.2" customHeight="1" x14ac:dyDescent="0.3">
      <c r="A1007" s="46" t="s">
        <v>1797</v>
      </c>
      <c r="B1007" s="55" t="s">
        <v>1200</v>
      </c>
      <c r="C1007" s="2">
        <f t="shared" si="258"/>
        <v>4890600</v>
      </c>
      <c r="D1007" s="3">
        <f t="shared" si="259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3">
        <v>741</v>
      </c>
      <c r="N1007" s="3">
        <f t="shared" si="262"/>
        <v>4890600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6">
        <f t="shared" si="260"/>
        <v>6600</v>
      </c>
    </row>
    <row r="1008" spans="1:258" ht="25.2" customHeight="1" x14ac:dyDescent="0.3">
      <c r="A1008" s="46" t="s">
        <v>1798</v>
      </c>
      <c r="B1008" s="49" t="s">
        <v>600</v>
      </c>
      <c r="C1008" s="2">
        <f t="shared" si="258"/>
        <v>5002720</v>
      </c>
      <c r="D1008" s="3">
        <f t="shared" si="259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3">
        <v>0</v>
      </c>
      <c r="L1008" s="32">
        <v>0</v>
      </c>
      <c r="M1008" s="32">
        <v>629.20000000000005</v>
      </c>
      <c r="N1008" s="3">
        <f t="shared" si="262"/>
        <v>4152720.0000000005</v>
      </c>
      <c r="O1008" s="32">
        <v>0</v>
      </c>
      <c r="P1008" s="32">
        <v>0</v>
      </c>
      <c r="Q1008" s="32">
        <v>0</v>
      </c>
      <c r="R1008" s="3">
        <f>Q1008*3000</f>
        <v>0</v>
      </c>
      <c r="S1008" s="32">
        <v>0</v>
      </c>
      <c r="T1008" s="32">
        <v>0</v>
      </c>
      <c r="U1008" s="32">
        <v>850000</v>
      </c>
      <c r="V1008" s="6">
        <f t="shared" si="260"/>
        <v>6600</v>
      </c>
    </row>
    <row r="1009" spans="1:258" ht="25.2" customHeight="1" x14ac:dyDescent="0.3">
      <c r="A1009" s="46" t="s">
        <v>1799</v>
      </c>
      <c r="B1009" s="49" t="s">
        <v>703</v>
      </c>
      <c r="C1009" s="2">
        <f t="shared" si="258"/>
        <v>3709200</v>
      </c>
      <c r="D1009" s="3">
        <f t="shared" si="259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32">
        <v>562</v>
      </c>
      <c r="N1009" s="3">
        <f t="shared" si="262"/>
        <v>3709200</v>
      </c>
      <c r="O1009" s="3">
        <v>0</v>
      </c>
      <c r="P1009" s="3">
        <v>0</v>
      </c>
      <c r="Q1009" s="3">
        <v>0</v>
      </c>
      <c r="R1009" s="3">
        <f>Q1009*3200</f>
        <v>0</v>
      </c>
      <c r="S1009" s="3">
        <v>0</v>
      </c>
      <c r="T1009" s="32">
        <v>0</v>
      </c>
      <c r="U1009" s="3">
        <v>0</v>
      </c>
      <c r="V1009" s="6">
        <f t="shared" si="260"/>
        <v>6600</v>
      </c>
    </row>
    <row r="1010" spans="1:258" ht="25.2" customHeight="1" x14ac:dyDescent="0.3">
      <c r="A1010" s="46" t="s">
        <v>1800</v>
      </c>
      <c r="B1010" s="49" t="s">
        <v>702</v>
      </c>
      <c r="C1010" s="2">
        <f t="shared" si="258"/>
        <v>10479274.18</v>
      </c>
      <c r="D1010" s="3">
        <f t="shared" si="259"/>
        <v>5866800</v>
      </c>
      <c r="E1010" s="3">
        <f>700*1955.6</f>
        <v>1368920</v>
      </c>
      <c r="F1010" s="3">
        <f>1300*1955.6</f>
        <v>2542280</v>
      </c>
      <c r="G1010" s="3">
        <f>300*1955.6</f>
        <v>586680</v>
      </c>
      <c r="H1010" s="3">
        <f>400*1955.6</f>
        <v>782240</v>
      </c>
      <c r="I1010" s="3">
        <f>300*1955.6</f>
        <v>586680</v>
      </c>
      <c r="J1010" s="3">
        <v>0</v>
      </c>
      <c r="K1010" s="4">
        <v>0</v>
      </c>
      <c r="L1010" s="3">
        <v>0</v>
      </c>
      <c r="M1010" s="3">
        <v>576</v>
      </c>
      <c r="N1010" s="3">
        <f t="shared" si="262"/>
        <v>3801600</v>
      </c>
      <c r="O1010" s="3">
        <v>438</v>
      </c>
      <c r="P1010" s="3">
        <f>O1010*1200</f>
        <v>525600</v>
      </c>
      <c r="Q1010" s="3">
        <v>0</v>
      </c>
      <c r="R1010" s="3">
        <f>Q1010*3200</f>
        <v>0</v>
      </c>
      <c r="S1010" s="3">
        <v>0</v>
      </c>
      <c r="T1010" s="32">
        <v>0</v>
      </c>
      <c r="U1010" s="3">
        <v>285274.18</v>
      </c>
      <c r="V1010" s="6">
        <f t="shared" si="260"/>
        <v>6600</v>
      </c>
    </row>
    <row r="1011" spans="1:258" ht="25.2" customHeight="1" x14ac:dyDescent="0.3">
      <c r="A1011" s="46" t="s">
        <v>1801</v>
      </c>
      <c r="B1011" s="49" t="s">
        <v>602</v>
      </c>
      <c r="C1011" s="2">
        <f t="shared" si="258"/>
        <v>2645500</v>
      </c>
      <c r="D1011" s="3">
        <f t="shared" si="259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3">
        <v>0</v>
      </c>
      <c r="L1011" s="32">
        <v>0</v>
      </c>
      <c r="M1011" s="32">
        <v>481</v>
      </c>
      <c r="N1011" s="3">
        <f>M1011*5500</f>
        <v>2645500</v>
      </c>
      <c r="O1011" s="32">
        <v>0</v>
      </c>
      <c r="P1011" s="32">
        <v>0</v>
      </c>
      <c r="Q1011" s="32">
        <v>0</v>
      </c>
      <c r="R1011" s="3">
        <f>Q1011*3000</f>
        <v>0</v>
      </c>
      <c r="S1011" s="32">
        <v>0</v>
      </c>
      <c r="T1011" s="32">
        <v>0</v>
      </c>
      <c r="U1011" s="32">
        <v>0</v>
      </c>
      <c r="V1011" s="6">
        <f t="shared" si="260"/>
        <v>5500</v>
      </c>
    </row>
    <row r="1012" spans="1:258" ht="25.2" customHeight="1" x14ac:dyDescent="0.3">
      <c r="A1012" s="46" t="s">
        <v>1802</v>
      </c>
      <c r="B1012" s="49" t="s">
        <v>773</v>
      </c>
      <c r="C1012" s="2">
        <f t="shared" si="258"/>
        <v>8250000</v>
      </c>
      <c r="D1012" s="3">
        <f t="shared" si="259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3">
        <v>0</v>
      </c>
      <c r="L1012" s="32">
        <v>0</v>
      </c>
      <c r="M1012" s="32">
        <v>1250</v>
      </c>
      <c r="N1012" s="3">
        <f>M1012*6600</f>
        <v>8250000</v>
      </c>
      <c r="O1012" s="3">
        <v>0</v>
      </c>
      <c r="P1012" s="3">
        <v>0</v>
      </c>
      <c r="Q1012" s="3">
        <v>0</v>
      </c>
      <c r="R1012" s="3">
        <f>Q1012*3200</f>
        <v>0</v>
      </c>
      <c r="S1012" s="3">
        <v>0</v>
      </c>
      <c r="T1012" s="32">
        <v>0</v>
      </c>
      <c r="U1012" s="3">
        <v>0</v>
      </c>
      <c r="V1012" s="6">
        <f t="shared" si="260"/>
        <v>6600</v>
      </c>
    </row>
    <row r="1013" spans="1:258" s="59" customFormat="1" ht="25.2" customHeight="1" x14ac:dyDescent="0.3">
      <c r="A1013" s="46" t="s">
        <v>1803</v>
      </c>
      <c r="B1013" s="49" t="s">
        <v>774</v>
      </c>
      <c r="C1013" s="2">
        <f t="shared" si="258"/>
        <v>8286300</v>
      </c>
      <c r="D1013" s="3">
        <f t="shared" si="259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32">
        <v>1255.5</v>
      </c>
      <c r="N1013" s="3">
        <f>M1013*6600</f>
        <v>8286300</v>
      </c>
      <c r="O1013" s="3">
        <v>0</v>
      </c>
      <c r="P1013" s="3">
        <v>0</v>
      </c>
      <c r="Q1013" s="3">
        <v>0</v>
      </c>
      <c r="R1013" s="3">
        <f>Q1013*3200</f>
        <v>0</v>
      </c>
      <c r="S1013" s="3">
        <v>0</v>
      </c>
      <c r="T1013" s="32">
        <v>0</v>
      </c>
      <c r="U1013" s="3">
        <v>0</v>
      </c>
      <c r="V1013" s="6">
        <f t="shared" si="260"/>
        <v>6600</v>
      </c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  <c r="IJ1013" s="7"/>
      <c r="IK1013" s="7"/>
      <c r="IL1013" s="7"/>
      <c r="IM1013" s="7"/>
      <c r="IN1013" s="7"/>
      <c r="IO1013" s="7"/>
      <c r="IP1013" s="7"/>
      <c r="IQ1013" s="7"/>
      <c r="IR1013" s="7"/>
      <c r="IS1013" s="7"/>
      <c r="IT1013" s="7"/>
      <c r="IU1013" s="7"/>
      <c r="IV1013" s="7"/>
      <c r="IW1013" s="7"/>
      <c r="IX1013" s="7"/>
    </row>
    <row r="1014" spans="1:258" s="59" customFormat="1" ht="25.2" customHeight="1" x14ac:dyDescent="0.3">
      <c r="A1014" s="46" t="s">
        <v>1804</v>
      </c>
      <c r="B1014" s="49" t="s">
        <v>1204</v>
      </c>
      <c r="C1014" s="2">
        <f t="shared" si="258"/>
        <v>300000</v>
      </c>
      <c r="D1014" s="3">
        <f t="shared" si="259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2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2">
        <v>0</v>
      </c>
      <c r="U1014" s="3">
        <v>300000</v>
      </c>
      <c r="V1014" s="6" t="e">
        <f t="shared" si="260"/>
        <v>#DIV/0!</v>
      </c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7"/>
      <c r="DZ1014" s="7"/>
      <c r="EA1014" s="7"/>
      <c r="EB1014" s="7"/>
      <c r="EC1014" s="7"/>
      <c r="ED1014" s="7"/>
      <c r="EE1014" s="7"/>
      <c r="EF1014" s="7"/>
      <c r="EG1014" s="7"/>
      <c r="EH1014" s="7"/>
      <c r="EI1014" s="7"/>
      <c r="EJ1014" s="7"/>
      <c r="EK1014" s="7"/>
      <c r="EL1014" s="7"/>
      <c r="EM1014" s="7"/>
      <c r="EN1014" s="7"/>
      <c r="EO1014" s="7"/>
      <c r="EP1014" s="7"/>
      <c r="EQ1014" s="7"/>
      <c r="ER1014" s="7"/>
      <c r="ES1014" s="7"/>
      <c r="ET1014" s="7"/>
      <c r="EU1014" s="7"/>
      <c r="EV1014" s="7"/>
      <c r="EW1014" s="7"/>
      <c r="EX1014" s="7"/>
      <c r="EY1014" s="7"/>
      <c r="EZ1014" s="7"/>
      <c r="FA1014" s="7"/>
      <c r="FB1014" s="7"/>
      <c r="FC1014" s="7"/>
      <c r="FD1014" s="7"/>
      <c r="FE1014" s="7"/>
      <c r="FF1014" s="7"/>
      <c r="FG1014" s="7"/>
      <c r="FH1014" s="7"/>
      <c r="FI1014" s="7"/>
      <c r="FJ1014" s="7"/>
      <c r="FK1014" s="7"/>
      <c r="FL1014" s="7"/>
      <c r="FM1014" s="7"/>
      <c r="FN1014" s="7"/>
      <c r="FO1014" s="7"/>
      <c r="FP1014" s="7"/>
      <c r="FQ1014" s="7"/>
      <c r="FR1014" s="7"/>
      <c r="FS1014" s="7"/>
      <c r="FT1014" s="7"/>
      <c r="FU1014" s="7"/>
      <c r="FV1014" s="7"/>
      <c r="FW1014" s="7"/>
      <c r="FX1014" s="7"/>
      <c r="FY1014" s="7"/>
      <c r="FZ1014" s="7"/>
      <c r="GA1014" s="7"/>
      <c r="GB1014" s="7"/>
      <c r="GC1014" s="7"/>
      <c r="GD1014" s="7"/>
      <c r="GE1014" s="7"/>
      <c r="GF1014" s="7"/>
      <c r="GG1014" s="7"/>
      <c r="GH1014" s="7"/>
      <c r="GI1014" s="7"/>
      <c r="GJ1014" s="7"/>
      <c r="GK1014" s="7"/>
      <c r="GL1014" s="7"/>
      <c r="GM1014" s="7"/>
      <c r="GN1014" s="7"/>
      <c r="GO1014" s="7"/>
      <c r="GP1014" s="7"/>
      <c r="GQ1014" s="7"/>
      <c r="GR1014" s="7"/>
      <c r="GS1014" s="7"/>
      <c r="GT1014" s="7"/>
      <c r="GU1014" s="7"/>
      <c r="GV1014" s="7"/>
      <c r="GW1014" s="7"/>
      <c r="GX1014" s="7"/>
      <c r="GY1014" s="7"/>
      <c r="GZ1014" s="7"/>
      <c r="HA1014" s="7"/>
      <c r="HB1014" s="7"/>
      <c r="HC1014" s="7"/>
      <c r="HD1014" s="7"/>
      <c r="HE1014" s="7"/>
      <c r="HF1014" s="7"/>
      <c r="HG1014" s="7"/>
      <c r="HH1014" s="7"/>
      <c r="HI1014" s="7"/>
      <c r="HJ1014" s="7"/>
      <c r="HK1014" s="7"/>
      <c r="HL1014" s="7"/>
      <c r="HM1014" s="7"/>
      <c r="HN1014" s="7"/>
      <c r="HO1014" s="7"/>
      <c r="HP1014" s="7"/>
      <c r="HQ1014" s="7"/>
      <c r="HR1014" s="7"/>
      <c r="HS1014" s="7"/>
      <c r="HT1014" s="7"/>
      <c r="HU1014" s="7"/>
      <c r="HV1014" s="7"/>
      <c r="HW1014" s="7"/>
      <c r="HX1014" s="7"/>
      <c r="HY1014" s="7"/>
      <c r="HZ1014" s="7"/>
      <c r="IA1014" s="7"/>
      <c r="IB1014" s="7"/>
      <c r="IC1014" s="7"/>
      <c r="ID1014" s="7"/>
      <c r="IE1014" s="7"/>
      <c r="IF1014" s="7"/>
      <c r="IG1014" s="7"/>
      <c r="IH1014" s="7"/>
      <c r="II1014" s="7"/>
      <c r="IJ1014" s="7"/>
      <c r="IK1014" s="7"/>
      <c r="IL1014" s="7"/>
      <c r="IM1014" s="7"/>
      <c r="IN1014" s="7"/>
      <c r="IO1014" s="7"/>
      <c r="IP1014" s="7"/>
      <c r="IQ1014" s="7"/>
      <c r="IR1014" s="7"/>
      <c r="IS1014" s="7"/>
      <c r="IT1014" s="7"/>
      <c r="IU1014" s="7"/>
      <c r="IV1014" s="7"/>
      <c r="IW1014" s="7"/>
      <c r="IX1014" s="7"/>
    </row>
    <row r="1015" spans="1:258" ht="25.2" customHeight="1" x14ac:dyDescent="0.3">
      <c r="A1015" s="46" t="s">
        <v>1805</v>
      </c>
      <c r="B1015" s="49" t="s">
        <v>358</v>
      </c>
      <c r="C1015" s="2">
        <f t="shared" si="258"/>
        <v>400000</v>
      </c>
      <c r="D1015" s="3">
        <f t="shared" si="259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0</v>
      </c>
      <c r="N1015" s="3">
        <f>M1015*5500</f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400000</v>
      </c>
      <c r="V1015" s="6" t="e">
        <f t="shared" si="260"/>
        <v>#DIV/0!</v>
      </c>
    </row>
    <row r="1016" spans="1:258" s="59" customFormat="1" ht="25.2" customHeight="1" x14ac:dyDescent="0.3">
      <c r="A1016" s="46" t="s">
        <v>1816</v>
      </c>
      <c r="B1016" s="49" t="s">
        <v>1178</v>
      </c>
      <c r="C1016" s="2">
        <f t="shared" si="258"/>
        <v>11747463.51</v>
      </c>
      <c r="D1016" s="3">
        <f t="shared" si="259"/>
        <v>11084310</v>
      </c>
      <c r="E1016" s="3">
        <f>700*3694.77</f>
        <v>2586339</v>
      </c>
      <c r="F1016" s="3">
        <f>1300*3694.77</f>
        <v>4803201</v>
      </c>
      <c r="G1016" s="3">
        <f>300*3694.77</f>
        <v>1108431</v>
      </c>
      <c r="H1016" s="3">
        <f>400*3694.77</f>
        <v>1477908</v>
      </c>
      <c r="I1016" s="3">
        <f>300*3694.77</f>
        <v>1108431</v>
      </c>
      <c r="J1016" s="3">
        <v>0</v>
      </c>
      <c r="K1016" s="4">
        <v>0</v>
      </c>
      <c r="L1016" s="3">
        <v>0</v>
      </c>
      <c r="M1016" s="32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f t="shared" ref="R1016:R1030" si="263">Q1016*3200</f>
        <v>0</v>
      </c>
      <c r="S1016" s="3">
        <v>0</v>
      </c>
      <c r="T1016" s="32">
        <v>0</v>
      </c>
      <c r="U1016" s="3">
        <v>663153.51</v>
      </c>
      <c r="V1016" s="6" t="e">
        <f t="shared" si="260"/>
        <v>#DIV/0!</v>
      </c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  <c r="GT1016" s="7"/>
      <c r="GU1016" s="7"/>
      <c r="GV1016" s="7"/>
      <c r="GW1016" s="7"/>
      <c r="GX1016" s="7"/>
      <c r="GY1016" s="7"/>
      <c r="GZ1016" s="7"/>
      <c r="HA1016" s="7"/>
      <c r="HB1016" s="7"/>
      <c r="HC1016" s="7"/>
      <c r="HD1016" s="7"/>
      <c r="HE1016" s="7"/>
      <c r="HF1016" s="7"/>
      <c r="HG1016" s="7"/>
      <c r="HH1016" s="7"/>
      <c r="HI1016" s="7"/>
      <c r="HJ1016" s="7"/>
      <c r="HK1016" s="7"/>
      <c r="HL1016" s="7"/>
      <c r="HM1016" s="7"/>
      <c r="HN1016" s="7"/>
      <c r="HO1016" s="7"/>
      <c r="HP1016" s="7"/>
      <c r="HQ1016" s="7"/>
      <c r="HR1016" s="7"/>
      <c r="HS1016" s="7"/>
      <c r="HT1016" s="7"/>
      <c r="HU1016" s="7"/>
      <c r="HV1016" s="7"/>
      <c r="HW1016" s="7"/>
      <c r="HX1016" s="7"/>
      <c r="HY1016" s="7"/>
      <c r="HZ1016" s="7"/>
      <c r="IA1016" s="7"/>
      <c r="IB1016" s="7"/>
      <c r="IC1016" s="7"/>
      <c r="ID1016" s="7"/>
      <c r="IE1016" s="7"/>
      <c r="IF1016" s="7"/>
      <c r="IG1016" s="7"/>
      <c r="IH1016" s="7"/>
      <c r="II1016" s="7"/>
      <c r="IJ1016" s="7"/>
      <c r="IK1016" s="7"/>
      <c r="IL1016" s="7"/>
      <c r="IM1016" s="7"/>
      <c r="IN1016" s="7"/>
      <c r="IO1016" s="7"/>
      <c r="IP1016" s="7"/>
      <c r="IQ1016" s="7"/>
      <c r="IR1016" s="7"/>
      <c r="IS1016" s="7"/>
      <c r="IT1016" s="7"/>
      <c r="IU1016" s="7"/>
      <c r="IV1016" s="7"/>
      <c r="IW1016" s="7"/>
      <c r="IX1016" s="7"/>
    </row>
    <row r="1017" spans="1:258" ht="25.2" customHeight="1" x14ac:dyDescent="0.3">
      <c r="A1017" s="46" t="s">
        <v>1817</v>
      </c>
      <c r="B1017" s="49" t="s">
        <v>704</v>
      </c>
      <c r="C1017" s="2">
        <f t="shared" si="258"/>
        <v>131992218.79000001</v>
      </c>
      <c r="D1017" s="3">
        <f t="shared" si="259"/>
        <v>47609700</v>
      </c>
      <c r="E1017" s="3">
        <f>700*15869.9</f>
        <v>11108930</v>
      </c>
      <c r="F1017" s="3">
        <f>1300*15869.9</f>
        <v>20630870</v>
      </c>
      <c r="G1017" s="3">
        <f>300*15869.9</f>
        <v>4760970</v>
      </c>
      <c r="H1017" s="3">
        <f>400*15869.9</f>
        <v>6347960</v>
      </c>
      <c r="I1017" s="3">
        <f>300*15869.9</f>
        <v>4760970</v>
      </c>
      <c r="J1017" s="3">
        <v>0</v>
      </c>
      <c r="K1017" s="4">
        <v>0</v>
      </c>
      <c r="L1017" s="3">
        <v>0</v>
      </c>
      <c r="M1017" s="32">
        <v>7378</v>
      </c>
      <c r="N1017" s="3">
        <f>M1017*6600</f>
        <v>48694800</v>
      </c>
      <c r="O1017" s="3">
        <v>0</v>
      </c>
      <c r="P1017" s="3">
        <v>0</v>
      </c>
      <c r="Q1017" s="3">
        <v>10944</v>
      </c>
      <c r="R1017" s="3">
        <f t="shared" si="263"/>
        <v>35020800</v>
      </c>
      <c r="S1017" s="3">
        <v>0</v>
      </c>
      <c r="T1017" s="32">
        <v>0</v>
      </c>
      <c r="U1017" s="3">
        <v>666918.79</v>
      </c>
      <c r="V1017" s="6">
        <f t="shared" si="260"/>
        <v>6600</v>
      </c>
    </row>
    <row r="1018" spans="1:258" ht="25.2" customHeight="1" x14ac:dyDescent="0.3">
      <c r="A1018" s="46" t="s">
        <v>1818</v>
      </c>
      <c r="B1018" s="49" t="s">
        <v>789</v>
      </c>
      <c r="C1018" s="2">
        <f t="shared" si="258"/>
        <v>6686080</v>
      </c>
      <c r="D1018" s="3">
        <f t="shared" si="259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32">
        <v>0</v>
      </c>
      <c r="N1018" s="32">
        <v>0</v>
      </c>
      <c r="O1018" s="3">
        <v>0</v>
      </c>
      <c r="P1018" s="3">
        <v>0</v>
      </c>
      <c r="Q1018" s="3">
        <v>2089.4</v>
      </c>
      <c r="R1018" s="3">
        <f t="shared" si="263"/>
        <v>6686080</v>
      </c>
      <c r="S1018" s="3">
        <v>0</v>
      </c>
      <c r="T1018" s="32">
        <v>0</v>
      </c>
      <c r="U1018" s="3">
        <v>0</v>
      </c>
      <c r="V1018" s="6" t="e">
        <f t="shared" si="260"/>
        <v>#DIV/0!</v>
      </c>
    </row>
    <row r="1019" spans="1:258" ht="25.2" customHeight="1" x14ac:dyDescent="0.3">
      <c r="A1019" s="46" t="s">
        <v>1819</v>
      </c>
      <c r="B1019" s="49" t="s">
        <v>522</v>
      </c>
      <c r="C1019" s="2">
        <f t="shared" si="258"/>
        <v>3516479.9999999995</v>
      </c>
      <c r="D1019" s="3">
        <f t="shared" si="259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3">
        <v>0</v>
      </c>
      <c r="L1019" s="32">
        <v>0</v>
      </c>
      <c r="M1019" s="32">
        <v>532.79999999999995</v>
      </c>
      <c r="N1019" s="3">
        <f>M1019*6600</f>
        <v>3516479.9999999995</v>
      </c>
      <c r="O1019" s="32">
        <v>0</v>
      </c>
      <c r="P1019" s="32">
        <v>0</v>
      </c>
      <c r="Q1019" s="32">
        <v>0</v>
      </c>
      <c r="R1019" s="3">
        <f t="shared" si="263"/>
        <v>0</v>
      </c>
      <c r="S1019" s="32">
        <v>0</v>
      </c>
      <c r="T1019" s="32">
        <v>0</v>
      </c>
      <c r="U1019" s="32">
        <v>0</v>
      </c>
      <c r="V1019" s="6">
        <f t="shared" si="260"/>
        <v>6600</v>
      </c>
    </row>
    <row r="1020" spans="1:258" ht="25.2" customHeight="1" x14ac:dyDescent="0.3">
      <c r="A1020" s="46" t="s">
        <v>1820</v>
      </c>
      <c r="B1020" s="49" t="s">
        <v>775</v>
      </c>
      <c r="C1020" s="2">
        <f t="shared" si="258"/>
        <v>2131800</v>
      </c>
      <c r="D1020" s="3">
        <f t="shared" si="259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32">
        <v>323</v>
      </c>
      <c r="N1020" s="3">
        <f>M1020*6600</f>
        <v>2131800</v>
      </c>
      <c r="O1020" s="3">
        <v>0</v>
      </c>
      <c r="P1020" s="3">
        <v>0</v>
      </c>
      <c r="Q1020" s="3">
        <v>0</v>
      </c>
      <c r="R1020" s="3">
        <f t="shared" si="263"/>
        <v>0</v>
      </c>
      <c r="S1020" s="3">
        <v>0</v>
      </c>
      <c r="T1020" s="32">
        <v>0</v>
      </c>
      <c r="U1020" s="3">
        <v>0</v>
      </c>
      <c r="V1020" s="6">
        <f t="shared" si="260"/>
        <v>6600</v>
      </c>
    </row>
    <row r="1021" spans="1:258" ht="25.2" customHeight="1" x14ac:dyDescent="0.3">
      <c r="A1021" s="46" t="s">
        <v>1821</v>
      </c>
      <c r="B1021" s="54" t="s">
        <v>523</v>
      </c>
      <c r="C1021" s="2">
        <f t="shared" si="258"/>
        <v>1848000</v>
      </c>
      <c r="D1021" s="3">
        <f t="shared" si="259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3">
        <v>0</v>
      </c>
      <c r="L1021" s="32">
        <v>0</v>
      </c>
      <c r="M1021" s="32">
        <v>280</v>
      </c>
      <c r="N1021" s="3">
        <f>M1021*6600</f>
        <v>1848000</v>
      </c>
      <c r="O1021" s="32">
        <v>0</v>
      </c>
      <c r="P1021" s="32">
        <v>0</v>
      </c>
      <c r="Q1021" s="32">
        <v>0</v>
      </c>
      <c r="R1021" s="3">
        <f t="shared" si="263"/>
        <v>0</v>
      </c>
      <c r="S1021" s="32">
        <v>0</v>
      </c>
      <c r="T1021" s="32">
        <v>0</v>
      </c>
      <c r="U1021" s="32">
        <v>0</v>
      </c>
      <c r="V1021" s="6">
        <f t="shared" si="260"/>
        <v>6600</v>
      </c>
    </row>
    <row r="1022" spans="1:258" ht="25.2" customHeight="1" x14ac:dyDescent="0.3">
      <c r="A1022" s="46" t="s">
        <v>1822</v>
      </c>
      <c r="B1022" s="54" t="s">
        <v>705</v>
      </c>
      <c r="C1022" s="2">
        <f t="shared" si="258"/>
        <v>1859880</v>
      </c>
      <c r="D1022" s="3">
        <f t="shared" si="259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32">
        <v>281.8</v>
      </c>
      <c r="N1022" s="3">
        <f>M1022*6600</f>
        <v>1859880</v>
      </c>
      <c r="O1022" s="3">
        <v>0</v>
      </c>
      <c r="P1022" s="3">
        <v>0</v>
      </c>
      <c r="Q1022" s="3">
        <v>0</v>
      </c>
      <c r="R1022" s="3">
        <f t="shared" si="263"/>
        <v>0</v>
      </c>
      <c r="S1022" s="3">
        <v>0</v>
      </c>
      <c r="T1022" s="32">
        <v>0</v>
      </c>
      <c r="U1022" s="3">
        <v>0</v>
      </c>
      <c r="V1022" s="6">
        <f t="shared" si="260"/>
        <v>6600</v>
      </c>
    </row>
    <row r="1023" spans="1:258" ht="25.2" customHeight="1" x14ac:dyDescent="0.3">
      <c r="A1023" s="46" t="s">
        <v>1823</v>
      </c>
      <c r="B1023" s="49" t="s">
        <v>446</v>
      </c>
      <c r="C1023" s="2">
        <f t="shared" si="258"/>
        <v>14689000</v>
      </c>
      <c r="D1023" s="3">
        <f t="shared" si="259"/>
        <v>14589000</v>
      </c>
      <c r="E1023" s="3">
        <f>700*4863</f>
        <v>3404100</v>
      </c>
      <c r="F1023" s="3">
        <f>1300*4863</f>
        <v>6321900</v>
      </c>
      <c r="G1023" s="3">
        <f>300*4863</f>
        <v>1458900</v>
      </c>
      <c r="H1023" s="3">
        <f>400*4863</f>
        <v>1945200</v>
      </c>
      <c r="I1023" s="3">
        <f>300*4863</f>
        <v>1458900</v>
      </c>
      <c r="J1023" s="3">
        <v>0</v>
      </c>
      <c r="K1023" s="4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f t="shared" si="263"/>
        <v>0</v>
      </c>
      <c r="S1023" s="3">
        <v>0</v>
      </c>
      <c r="T1023" s="32">
        <v>0</v>
      </c>
      <c r="U1023" s="3">
        <v>100000</v>
      </c>
      <c r="V1023" s="6" t="e">
        <f t="shared" si="260"/>
        <v>#DIV/0!</v>
      </c>
    </row>
    <row r="1024" spans="1:258" ht="25.2" customHeight="1" x14ac:dyDescent="0.3">
      <c r="A1024" s="46" t="s">
        <v>1824</v>
      </c>
      <c r="B1024" s="49" t="s">
        <v>432</v>
      </c>
      <c r="C1024" s="2">
        <f t="shared" si="258"/>
        <v>24707500</v>
      </c>
      <c r="D1024" s="3">
        <f t="shared" si="259"/>
        <v>24607500</v>
      </c>
      <c r="E1024" s="3">
        <f>700*8202.5</f>
        <v>5741750</v>
      </c>
      <c r="F1024" s="3">
        <f>1300*8202.5</f>
        <v>10663250</v>
      </c>
      <c r="G1024" s="3">
        <f>300*8202.5</f>
        <v>2460750</v>
      </c>
      <c r="H1024" s="3">
        <f>400*8202.5</f>
        <v>3281000</v>
      </c>
      <c r="I1024" s="3">
        <f>300*8202.5</f>
        <v>2460750</v>
      </c>
      <c r="J1024" s="3">
        <v>0</v>
      </c>
      <c r="K1024" s="4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f t="shared" si="263"/>
        <v>0</v>
      </c>
      <c r="S1024" s="3">
        <v>0</v>
      </c>
      <c r="T1024" s="32">
        <v>0</v>
      </c>
      <c r="U1024" s="3">
        <v>100000</v>
      </c>
      <c r="V1024" s="6" t="e">
        <f t="shared" si="260"/>
        <v>#DIV/0!</v>
      </c>
    </row>
    <row r="1025" spans="1:258" ht="25.2" customHeight="1" x14ac:dyDescent="0.3">
      <c r="A1025" s="46" t="s">
        <v>1825</v>
      </c>
      <c r="B1025" s="49" t="s">
        <v>706</v>
      </c>
      <c r="C1025" s="2">
        <f t="shared" si="258"/>
        <v>3346200</v>
      </c>
      <c r="D1025" s="3">
        <f t="shared" si="259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3">
        <v>507</v>
      </c>
      <c r="N1025" s="3">
        <f>M1025*6600</f>
        <v>3346200</v>
      </c>
      <c r="O1025" s="3">
        <v>0</v>
      </c>
      <c r="P1025" s="3">
        <v>0</v>
      </c>
      <c r="Q1025" s="3">
        <v>0</v>
      </c>
      <c r="R1025" s="3">
        <f t="shared" si="263"/>
        <v>0</v>
      </c>
      <c r="S1025" s="3">
        <v>0</v>
      </c>
      <c r="T1025" s="32">
        <v>0</v>
      </c>
      <c r="U1025" s="3">
        <v>0</v>
      </c>
      <c r="V1025" s="6">
        <f t="shared" si="260"/>
        <v>6600</v>
      </c>
    </row>
    <row r="1026" spans="1:258" ht="25.2" customHeight="1" x14ac:dyDescent="0.3">
      <c r="A1026" s="46" t="s">
        <v>1826</v>
      </c>
      <c r="B1026" s="49" t="s">
        <v>776</v>
      </c>
      <c r="C1026" s="2">
        <f t="shared" si="258"/>
        <v>300000</v>
      </c>
      <c r="D1026" s="3">
        <f t="shared" si="259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32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f t="shared" si="263"/>
        <v>0</v>
      </c>
      <c r="S1026" s="3">
        <v>0</v>
      </c>
      <c r="T1026" s="32">
        <v>0</v>
      </c>
      <c r="U1026" s="3">
        <v>300000</v>
      </c>
      <c r="V1026" s="6" t="e">
        <f t="shared" si="260"/>
        <v>#DIV/0!</v>
      </c>
    </row>
    <row r="1027" spans="1:258" s="58" customFormat="1" ht="25.2" customHeight="1" x14ac:dyDescent="0.3">
      <c r="A1027" s="46" t="s">
        <v>1827</v>
      </c>
      <c r="B1027" s="49" t="s">
        <v>707</v>
      </c>
      <c r="C1027" s="2">
        <f t="shared" si="258"/>
        <v>1841400</v>
      </c>
      <c r="D1027" s="3">
        <f t="shared" si="259"/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32">
        <v>279</v>
      </c>
      <c r="N1027" s="3">
        <f t="shared" ref="N1027:N1038" si="264">M1027*6600</f>
        <v>1841400</v>
      </c>
      <c r="O1027" s="3">
        <v>0</v>
      </c>
      <c r="P1027" s="3">
        <v>0</v>
      </c>
      <c r="Q1027" s="3">
        <v>0</v>
      </c>
      <c r="R1027" s="3">
        <f t="shared" si="263"/>
        <v>0</v>
      </c>
      <c r="S1027" s="3">
        <v>0</v>
      </c>
      <c r="T1027" s="32">
        <v>0</v>
      </c>
      <c r="U1027" s="3">
        <v>0</v>
      </c>
      <c r="V1027" s="6">
        <f t="shared" si="260"/>
        <v>6600</v>
      </c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7"/>
      <c r="CR1027" s="7"/>
      <c r="CS1027" s="7"/>
      <c r="CT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7"/>
      <c r="DO1027" s="7"/>
      <c r="DP1027" s="7"/>
      <c r="DQ1027" s="7"/>
      <c r="DR1027" s="7"/>
      <c r="DS1027" s="7"/>
      <c r="DT1027" s="7"/>
      <c r="DU1027" s="7"/>
      <c r="DV1027" s="7"/>
      <c r="DW1027" s="7"/>
      <c r="DX1027" s="7"/>
      <c r="DY1027" s="7"/>
      <c r="DZ1027" s="7"/>
      <c r="EA1027" s="7"/>
      <c r="EB1027" s="7"/>
      <c r="EC1027" s="7"/>
      <c r="ED1027" s="7"/>
      <c r="EE1027" s="7"/>
      <c r="EF1027" s="7"/>
      <c r="EG1027" s="7"/>
      <c r="EH1027" s="7"/>
      <c r="EI1027" s="7"/>
      <c r="EJ1027" s="7"/>
      <c r="EK1027" s="7"/>
      <c r="EL1027" s="7"/>
      <c r="EM1027" s="7"/>
      <c r="EN1027" s="7"/>
      <c r="EO1027" s="7"/>
      <c r="EP1027" s="7"/>
      <c r="EQ1027" s="7"/>
      <c r="ER1027" s="7"/>
      <c r="ES1027" s="7"/>
      <c r="ET1027" s="7"/>
      <c r="EU1027" s="7"/>
      <c r="EV1027" s="7"/>
      <c r="EW1027" s="7"/>
      <c r="EX1027" s="7"/>
      <c r="EY1027" s="7"/>
      <c r="EZ1027" s="7"/>
      <c r="FA1027" s="7"/>
      <c r="FB1027" s="7"/>
      <c r="FC1027" s="7"/>
      <c r="FD1027" s="7"/>
      <c r="FE1027" s="7"/>
      <c r="FF1027" s="7"/>
      <c r="FG1027" s="7"/>
      <c r="FH1027" s="7"/>
      <c r="FI1027" s="7"/>
      <c r="FJ1027" s="7"/>
      <c r="FK1027" s="7"/>
      <c r="FL1027" s="7"/>
      <c r="FM1027" s="7"/>
      <c r="FN1027" s="7"/>
      <c r="FO1027" s="7"/>
      <c r="FP1027" s="7"/>
      <c r="FQ1027" s="7"/>
      <c r="FR1027" s="7"/>
      <c r="FS1027" s="7"/>
      <c r="FT1027" s="7"/>
      <c r="FU1027" s="7"/>
      <c r="FV1027" s="7"/>
      <c r="FW1027" s="7"/>
      <c r="FX1027" s="7"/>
      <c r="FY1027" s="7"/>
      <c r="FZ1027" s="7"/>
      <c r="GA1027" s="7"/>
      <c r="GB1027" s="7"/>
      <c r="GC1027" s="7"/>
      <c r="GD1027" s="7"/>
      <c r="GE1027" s="7"/>
      <c r="GF1027" s="7"/>
      <c r="GG1027" s="7"/>
      <c r="GH1027" s="7"/>
      <c r="GI1027" s="7"/>
      <c r="GJ1027" s="7"/>
      <c r="GK1027" s="7"/>
      <c r="GL1027" s="7"/>
      <c r="GM1027" s="7"/>
      <c r="GN1027" s="7"/>
      <c r="GO1027" s="7"/>
      <c r="GP1027" s="7"/>
      <c r="GQ1027" s="7"/>
      <c r="GR1027" s="7"/>
      <c r="GS1027" s="7"/>
      <c r="GT1027" s="7"/>
      <c r="GU1027" s="7"/>
      <c r="GV1027" s="7"/>
      <c r="GW1027" s="7"/>
      <c r="GX1027" s="7"/>
      <c r="GY1027" s="7"/>
      <c r="GZ1027" s="7"/>
      <c r="HA1027" s="7"/>
      <c r="HB1027" s="7"/>
      <c r="HC1027" s="7"/>
      <c r="HD1027" s="7"/>
      <c r="HE1027" s="7"/>
      <c r="HF1027" s="7"/>
      <c r="HG1027" s="7"/>
      <c r="HH1027" s="7"/>
      <c r="HI1027" s="7"/>
      <c r="HJ1027" s="7"/>
      <c r="HK1027" s="7"/>
      <c r="HL1027" s="7"/>
      <c r="HM1027" s="7"/>
      <c r="HN1027" s="7"/>
      <c r="HO1027" s="7"/>
      <c r="HP1027" s="7"/>
      <c r="HQ1027" s="7"/>
      <c r="HR1027" s="7"/>
      <c r="HS1027" s="7"/>
      <c r="HT1027" s="7"/>
      <c r="HU1027" s="7"/>
      <c r="HV1027" s="7"/>
      <c r="HW1027" s="7"/>
      <c r="HX1027" s="7"/>
      <c r="HY1027" s="7"/>
      <c r="HZ1027" s="7"/>
      <c r="IA1027" s="7"/>
      <c r="IB1027" s="7"/>
      <c r="IC1027" s="7"/>
      <c r="ID1027" s="7"/>
      <c r="IE1027" s="7"/>
      <c r="IF1027" s="7"/>
      <c r="IG1027" s="7"/>
      <c r="IH1027" s="7"/>
      <c r="II1027" s="7"/>
      <c r="IJ1027" s="7"/>
      <c r="IK1027" s="7"/>
      <c r="IL1027" s="7"/>
      <c r="IM1027" s="7"/>
      <c r="IN1027" s="7"/>
      <c r="IO1027" s="7"/>
      <c r="IP1027" s="7"/>
      <c r="IQ1027" s="7"/>
      <c r="IR1027" s="7"/>
      <c r="IS1027" s="7"/>
      <c r="IT1027" s="7"/>
      <c r="IU1027" s="7"/>
      <c r="IV1027" s="7"/>
      <c r="IW1027" s="7"/>
      <c r="IX1027" s="7"/>
    </row>
    <row r="1028" spans="1:258" ht="25.2" customHeight="1" x14ac:dyDescent="0.3">
      <c r="A1028" s="46" t="s">
        <v>1828</v>
      </c>
      <c r="B1028" s="49" t="s">
        <v>708</v>
      </c>
      <c r="C1028" s="2">
        <f t="shared" si="258"/>
        <v>3633302</v>
      </c>
      <c r="D1028" s="3">
        <f t="shared" si="259"/>
        <v>437502</v>
      </c>
      <c r="E1028" s="3">
        <f>700*336.54</f>
        <v>235578</v>
      </c>
      <c r="F1028" s="3">
        <v>0</v>
      </c>
      <c r="G1028" s="3">
        <f>300*336.54</f>
        <v>100962</v>
      </c>
      <c r="H1028" s="3">
        <v>0</v>
      </c>
      <c r="I1028" s="3">
        <f>300*336.54</f>
        <v>100962</v>
      </c>
      <c r="J1028" s="3">
        <v>0</v>
      </c>
      <c r="K1028" s="4">
        <v>0</v>
      </c>
      <c r="L1028" s="3">
        <v>0</v>
      </c>
      <c r="M1028" s="32">
        <v>279</v>
      </c>
      <c r="N1028" s="3">
        <f t="shared" si="264"/>
        <v>1841400</v>
      </c>
      <c r="O1028" s="3">
        <v>0</v>
      </c>
      <c r="P1028" s="3">
        <v>0</v>
      </c>
      <c r="Q1028" s="3">
        <v>392</v>
      </c>
      <c r="R1028" s="3">
        <f t="shared" si="263"/>
        <v>1254400</v>
      </c>
      <c r="S1028" s="3">
        <v>0</v>
      </c>
      <c r="T1028" s="32">
        <v>0</v>
      </c>
      <c r="U1028" s="3">
        <v>100000</v>
      </c>
      <c r="V1028" s="6">
        <f t="shared" si="260"/>
        <v>6600</v>
      </c>
    </row>
    <row r="1029" spans="1:258" ht="25.2" customHeight="1" x14ac:dyDescent="0.3">
      <c r="A1029" s="46" t="s">
        <v>1829</v>
      </c>
      <c r="B1029" s="54" t="s">
        <v>777</v>
      </c>
      <c r="C1029" s="2">
        <f t="shared" si="258"/>
        <v>6204000</v>
      </c>
      <c r="D1029" s="3">
        <f t="shared" si="259"/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32">
        <v>940</v>
      </c>
      <c r="N1029" s="3">
        <f t="shared" si="264"/>
        <v>6204000</v>
      </c>
      <c r="O1029" s="3">
        <v>0</v>
      </c>
      <c r="P1029" s="3">
        <v>0</v>
      </c>
      <c r="Q1029" s="3">
        <v>0</v>
      </c>
      <c r="R1029" s="3">
        <f t="shared" si="263"/>
        <v>0</v>
      </c>
      <c r="S1029" s="3">
        <v>0</v>
      </c>
      <c r="T1029" s="32">
        <v>0</v>
      </c>
      <c r="U1029" s="3">
        <v>0</v>
      </c>
      <c r="V1029" s="6">
        <f t="shared" si="260"/>
        <v>6600</v>
      </c>
    </row>
    <row r="1030" spans="1:258" ht="25.2" customHeight="1" x14ac:dyDescent="0.3">
      <c r="A1030" s="46" t="s">
        <v>1830</v>
      </c>
      <c r="B1030" s="54" t="s">
        <v>778</v>
      </c>
      <c r="C1030" s="2">
        <f t="shared" si="258"/>
        <v>6237000</v>
      </c>
      <c r="D1030" s="3">
        <f t="shared" si="259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32">
        <v>945</v>
      </c>
      <c r="N1030" s="3">
        <f t="shared" si="264"/>
        <v>6237000</v>
      </c>
      <c r="O1030" s="3">
        <v>0</v>
      </c>
      <c r="P1030" s="3">
        <v>0</v>
      </c>
      <c r="Q1030" s="3">
        <v>0</v>
      </c>
      <c r="R1030" s="3">
        <f t="shared" si="263"/>
        <v>0</v>
      </c>
      <c r="S1030" s="3">
        <v>0</v>
      </c>
      <c r="T1030" s="32">
        <v>0</v>
      </c>
      <c r="U1030" s="3">
        <v>0</v>
      </c>
      <c r="V1030" s="6">
        <f t="shared" si="260"/>
        <v>6600</v>
      </c>
    </row>
    <row r="1031" spans="1:258" ht="25.2" customHeight="1" x14ac:dyDescent="0.3">
      <c r="A1031" s="46" t="s">
        <v>1831</v>
      </c>
      <c r="B1031" s="49" t="s">
        <v>616</v>
      </c>
      <c r="C1031" s="2">
        <f t="shared" si="258"/>
        <v>4871380</v>
      </c>
      <c r="D1031" s="3">
        <f t="shared" si="259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3">
        <v>0</v>
      </c>
      <c r="L1031" s="32">
        <v>0</v>
      </c>
      <c r="M1031" s="32">
        <v>609.29999999999995</v>
      </c>
      <c r="N1031" s="3">
        <f t="shared" si="264"/>
        <v>4021379.9999999995</v>
      </c>
      <c r="O1031" s="32">
        <v>0</v>
      </c>
      <c r="P1031" s="32">
        <v>0</v>
      </c>
      <c r="Q1031" s="32">
        <v>0</v>
      </c>
      <c r="R1031" s="3">
        <f>Q1031*3000</f>
        <v>0</v>
      </c>
      <c r="S1031" s="32">
        <v>0</v>
      </c>
      <c r="T1031" s="32">
        <v>0</v>
      </c>
      <c r="U1031" s="32">
        <v>850000</v>
      </c>
      <c r="V1031" s="6">
        <f t="shared" si="260"/>
        <v>6600</v>
      </c>
    </row>
    <row r="1032" spans="1:258" ht="25.2" customHeight="1" x14ac:dyDescent="0.3">
      <c r="A1032" s="46" t="s">
        <v>1832</v>
      </c>
      <c r="B1032" s="55" t="s">
        <v>853</v>
      </c>
      <c r="C1032" s="2">
        <f t="shared" si="258"/>
        <v>2060454</v>
      </c>
      <c r="D1032" s="3">
        <f t="shared" si="259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3">
        <v>312.19</v>
      </c>
      <c r="N1032" s="3">
        <f t="shared" si="264"/>
        <v>2060454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6">
        <f t="shared" si="260"/>
        <v>6600</v>
      </c>
    </row>
    <row r="1033" spans="1:258" ht="25.2" customHeight="1" x14ac:dyDescent="0.3">
      <c r="A1033" s="46" t="s">
        <v>1833</v>
      </c>
      <c r="B1033" s="49" t="s">
        <v>779</v>
      </c>
      <c r="C1033" s="2">
        <f t="shared" si="258"/>
        <v>1993200</v>
      </c>
      <c r="D1033" s="3">
        <f t="shared" si="259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32">
        <v>302</v>
      </c>
      <c r="N1033" s="3">
        <f t="shared" si="264"/>
        <v>1993200</v>
      </c>
      <c r="O1033" s="3">
        <v>0</v>
      </c>
      <c r="P1033" s="3">
        <v>0</v>
      </c>
      <c r="Q1033" s="3">
        <v>0</v>
      </c>
      <c r="R1033" s="3">
        <f>Q1033*3200</f>
        <v>0</v>
      </c>
      <c r="S1033" s="3">
        <v>0</v>
      </c>
      <c r="T1033" s="32">
        <v>0</v>
      </c>
      <c r="U1033" s="3">
        <v>0</v>
      </c>
      <c r="V1033" s="6">
        <f t="shared" si="260"/>
        <v>6600</v>
      </c>
    </row>
    <row r="1034" spans="1:258" ht="25.2" customHeight="1" x14ac:dyDescent="0.3">
      <c r="A1034" s="46" t="s">
        <v>1834</v>
      </c>
      <c r="B1034" s="49" t="s">
        <v>709</v>
      </c>
      <c r="C1034" s="2">
        <f t="shared" si="258"/>
        <v>1907400</v>
      </c>
      <c r="D1034" s="3">
        <f t="shared" si="259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32">
        <v>289</v>
      </c>
      <c r="N1034" s="3">
        <f t="shared" si="264"/>
        <v>1907400</v>
      </c>
      <c r="O1034" s="3">
        <v>0</v>
      </c>
      <c r="P1034" s="3">
        <v>0</v>
      </c>
      <c r="Q1034" s="3">
        <v>0</v>
      </c>
      <c r="R1034" s="3">
        <f>Q1034*3200</f>
        <v>0</v>
      </c>
      <c r="S1034" s="3">
        <v>0</v>
      </c>
      <c r="T1034" s="32">
        <v>0</v>
      </c>
      <c r="U1034" s="3">
        <v>0</v>
      </c>
      <c r="V1034" s="6">
        <f t="shared" si="260"/>
        <v>6600</v>
      </c>
    </row>
    <row r="1035" spans="1:258" ht="25.2" customHeight="1" x14ac:dyDescent="0.3">
      <c r="A1035" s="46" t="s">
        <v>1835</v>
      </c>
      <c r="B1035" s="49" t="s">
        <v>780</v>
      </c>
      <c r="C1035" s="2">
        <f t="shared" si="258"/>
        <v>1907400</v>
      </c>
      <c r="D1035" s="3">
        <f t="shared" si="259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32">
        <v>289</v>
      </c>
      <c r="N1035" s="3">
        <f t="shared" si="264"/>
        <v>1907400</v>
      </c>
      <c r="O1035" s="3">
        <v>0</v>
      </c>
      <c r="P1035" s="3">
        <v>0</v>
      </c>
      <c r="Q1035" s="3">
        <v>0</v>
      </c>
      <c r="R1035" s="3">
        <f>Q1035*3200</f>
        <v>0</v>
      </c>
      <c r="S1035" s="3">
        <v>0</v>
      </c>
      <c r="T1035" s="32">
        <v>0</v>
      </c>
      <c r="U1035" s="3">
        <v>0</v>
      </c>
      <c r="V1035" s="6">
        <f t="shared" si="260"/>
        <v>6600</v>
      </c>
    </row>
    <row r="1036" spans="1:258" ht="25.2" customHeight="1" x14ac:dyDescent="0.3">
      <c r="A1036" s="46" t="s">
        <v>1979</v>
      </c>
      <c r="B1036" s="49" t="s">
        <v>781</v>
      </c>
      <c r="C1036" s="2">
        <f t="shared" si="258"/>
        <v>1907400</v>
      </c>
      <c r="D1036" s="3">
        <f t="shared" si="259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32">
        <v>289</v>
      </c>
      <c r="N1036" s="3">
        <f t="shared" si="264"/>
        <v>1907400</v>
      </c>
      <c r="O1036" s="3">
        <v>0</v>
      </c>
      <c r="P1036" s="3">
        <v>0</v>
      </c>
      <c r="Q1036" s="3">
        <v>0</v>
      </c>
      <c r="R1036" s="3">
        <f>Q1036*3200</f>
        <v>0</v>
      </c>
      <c r="S1036" s="3">
        <v>0</v>
      </c>
      <c r="T1036" s="32">
        <v>0</v>
      </c>
      <c r="U1036" s="3">
        <v>0</v>
      </c>
      <c r="V1036" s="6">
        <f t="shared" si="260"/>
        <v>6600</v>
      </c>
    </row>
    <row r="1037" spans="1:258" ht="25.2" customHeight="1" x14ac:dyDescent="0.3">
      <c r="A1037" s="46" t="s">
        <v>1836</v>
      </c>
      <c r="B1037" s="49" t="s">
        <v>710</v>
      </c>
      <c r="C1037" s="2">
        <f t="shared" si="258"/>
        <v>2590500</v>
      </c>
      <c r="D1037" s="3">
        <f t="shared" si="259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3">
        <v>392.5</v>
      </c>
      <c r="N1037" s="3">
        <f t="shared" si="264"/>
        <v>2590500</v>
      </c>
      <c r="O1037" s="3">
        <v>0</v>
      </c>
      <c r="P1037" s="3">
        <v>0</v>
      </c>
      <c r="Q1037" s="3">
        <v>0</v>
      </c>
      <c r="R1037" s="3">
        <f>Q1037*3200</f>
        <v>0</v>
      </c>
      <c r="S1037" s="3">
        <v>0</v>
      </c>
      <c r="T1037" s="32">
        <v>0</v>
      </c>
      <c r="U1037" s="3">
        <v>0</v>
      </c>
      <c r="V1037" s="6">
        <f t="shared" si="260"/>
        <v>6600</v>
      </c>
    </row>
    <row r="1038" spans="1:258" ht="25.2" customHeight="1" x14ac:dyDescent="0.3">
      <c r="A1038" s="46" t="s">
        <v>1837</v>
      </c>
      <c r="B1038" s="55" t="s">
        <v>1201</v>
      </c>
      <c r="C1038" s="2">
        <f t="shared" si="258"/>
        <v>4554000</v>
      </c>
      <c r="D1038" s="3">
        <f t="shared" si="259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3">
        <v>690</v>
      </c>
      <c r="N1038" s="3">
        <f t="shared" si="264"/>
        <v>4554000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6">
        <f t="shared" si="260"/>
        <v>6600</v>
      </c>
    </row>
    <row r="1039" spans="1:258" ht="25.2" customHeight="1" x14ac:dyDescent="0.3">
      <c r="A1039" s="46" t="s">
        <v>1980</v>
      </c>
      <c r="B1039" s="49" t="s">
        <v>782</v>
      </c>
      <c r="C1039" s="2">
        <f t="shared" si="258"/>
        <v>3026000</v>
      </c>
      <c r="D1039" s="3">
        <f t="shared" si="259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32">
        <v>680</v>
      </c>
      <c r="N1039" s="3">
        <f>M1039*4450</f>
        <v>3026000</v>
      </c>
      <c r="O1039" s="3">
        <v>0</v>
      </c>
      <c r="P1039" s="3">
        <v>0</v>
      </c>
      <c r="Q1039" s="3">
        <v>0</v>
      </c>
      <c r="R1039" s="3">
        <f t="shared" ref="R1039:R1050" si="265">Q1039*3200</f>
        <v>0</v>
      </c>
      <c r="S1039" s="3">
        <v>0</v>
      </c>
      <c r="T1039" s="32">
        <v>0</v>
      </c>
      <c r="U1039" s="3">
        <v>0</v>
      </c>
      <c r="V1039" s="6">
        <f t="shared" si="260"/>
        <v>4450</v>
      </c>
    </row>
    <row r="1040" spans="1:258" ht="25.2" customHeight="1" x14ac:dyDescent="0.3">
      <c r="A1040" s="46" t="s">
        <v>1838</v>
      </c>
      <c r="B1040" s="49" t="s">
        <v>715</v>
      </c>
      <c r="C1040" s="2">
        <f t="shared" si="258"/>
        <v>6108960</v>
      </c>
      <c r="D1040" s="3">
        <f t="shared" si="259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32">
        <v>1372.8</v>
      </c>
      <c r="N1040" s="3">
        <f>M1040*4450</f>
        <v>6108960</v>
      </c>
      <c r="O1040" s="3">
        <v>0</v>
      </c>
      <c r="P1040" s="3">
        <v>0</v>
      </c>
      <c r="Q1040" s="3">
        <v>0</v>
      </c>
      <c r="R1040" s="3">
        <f t="shared" si="265"/>
        <v>0</v>
      </c>
      <c r="S1040" s="3">
        <v>0</v>
      </c>
      <c r="T1040" s="32">
        <v>0</v>
      </c>
      <c r="U1040" s="3">
        <v>0</v>
      </c>
      <c r="V1040" s="6">
        <f t="shared" si="260"/>
        <v>4450</v>
      </c>
    </row>
    <row r="1041" spans="1:258" ht="25.2" customHeight="1" x14ac:dyDescent="0.3">
      <c r="A1041" s="46" t="s">
        <v>1839</v>
      </c>
      <c r="B1041" s="49" t="s">
        <v>711</v>
      </c>
      <c r="C1041" s="2">
        <f t="shared" si="258"/>
        <v>4125000</v>
      </c>
      <c r="D1041" s="3">
        <f t="shared" si="259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2">
        <v>625</v>
      </c>
      <c r="N1041" s="3">
        <f t="shared" ref="N1041:N1050" si="266">M1041*6600</f>
        <v>4125000</v>
      </c>
      <c r="O1041" s="3">
        <v>0</v>
      </c>
      <c r="P1041" s="3">
        <v>0</v>
      </c>
      <c r="Q1041" s="3">
        <v>0</v>
      </c>
      <c r="R1041" s="3">
        <f t="shared" si="265"/>
        <v>0</v>
      </c>
      <c r="S1041" s="3">
        <v>0</v>
      </c>
      <c r="T1041" s="32">
        <v>0</v>
      </c>
      <c r="U1041" s="3">
        <v>0</v>
      </c>
      <c r="V1041" s="6">
        <f t="shared" si="260"/>
        <v>6600</v>
      </c>
    </row>
    <row r="1042" spans="1:258" ht="25.2" customHeight="1" x14ac:dyDescent="0.3">
      <c r="A1042" s="46" t="s">
        <v>1840</v>
      </c>
      <c r="B1042" s="49" t="s">
        <v>712</v>
      </c>
      <c r="C1042" s="2">
        <f t="shared" si="258"/>
        <v>300000</v>
      </c>
      <c r="D1042" s="3">
        <f t="shared" si="259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3">
        <v>0</v>
      </c>
      <c r="N1042" s="3">
        <f t="shared" si="266"/>
        <v>0</v>
      </c>
      <c r="O1042" s="3">
        <v>0</v>
      </c>
      <c r="P1042" s="3">
        <v>0</v>
      </c>
      <c r="Q1042" s="3">
        <v>0</v>
      </c>
      <c r="R1042" s="3">
        <f t="shared" si="265"/>
        <v>0</v>
      </c>
      <c r="S1042" s="3">
        <v>0</v>
      </c>
      <c r="T1042" s="32">
        <v>0</v>
      </c>
      <c r="U1042" s="3">
        <v>300000</v>
      </c>
      <c r="V1042" s="6" t="e">
        <f t="shared" si="260"/>
        <v>#DIV/0!</v>
      </c>
    </row>
    <row r="1043" spans="1:258" ht="25.2" customHeight="1" x14ac:dyDescent="0.3">
      <c r="A1043" s="46" t="s">
        <v>1841</v>
      </c>
      <c r="B1043" s="49" t="s">
        <v>713</v>
      </c>
      <c r="C1043" s="2">
        <f t="shared" si="258"/>
        <v>1750320</v>
      </c>
      <c r="D1043" s="3">
        <f t="shared" si="259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32">
        <v>265.2</v>
      </c>
      <c r="N1043" s="3">
        <f t="shared" si="266"/>
        <v>1750320</v>
      </c>
      <c r="O1043" s="3">
        <v>0</v>
      </c>
      <c r="P1043" s="3">
        <v>0</v>
      </c>
      <c r="Q1043" s="3">
        <v>0</v>
      </c>
      <c r="R1043" s="3">
        <f t="shared" si="265"/>
        <v>0</v>
      </c>
      <c r="S1043" s="3">
        <v>0</v>
      </c>
      <c r="T1043" s="32">
        <v>0</v>
      </c>
      <c r="U1043" s="3">
        <v>0</v>
      </c>
      <c r="V1043" s="6">
        <f t="shared" si="260"/>
        <v>6600</v>
      </c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  <c r="BU1043" s="6"/>
      <c r="BV1043" s="6"/>
      <c r="BW1043" s="6"/>
      <c r="BX1043" s="6"/>
      <c r="BY1043" s="6"/>
      <c r="BZ1043" s="6"/>
      <c r="CA1043" s="6"/>
      <c r="CB1043" s="6"/>
      <c r="CC1043" s="6"/>
      <c r="CD1043" s="6"/>
      <c r="CE1043" s="6"/>
      <c r="CF1043" s="6"/>
      <c r="CG1043" s="6"/>
      <c r="CH1043" s="6"/>
      <c r="CI1043" s="6"/>
      <c r="CJ1043" s="6"/>
      <c r="CK1043" s="6"/>
      <c r="CL1043" s="6"/>
      <c r="CM1043" s="6"/>
      <c r="CN1043" s="6"/>
      <c r="CO1043" s="6"/>
      <c r="CP1043" s="6"/>
      <c r="CQ1043" s="6"/>
      <c r="CR1043" s="6"/>
      <c r="CS1043" s="6"/>
      <c r="CT1043" s="6"/>
      <c r="CU1043" s="6"/>
      <c r="CV1043" s="6"/>
      <c r="CW1043" s="6"/>
      <c r="CX1043" s="6"/>
      <c r="CY1043" s="6"/>
      <c r="CZ1043" s="6"/>
      <c r="DA1043" s="6"/>
      <c r="DB1043" s="6"/>
      <c r="DC1043" s="6"/>
      <c r="DD1043" s="6"/>
      <c r="DE1043" s="6"/>
      <c r="DF1043" s="6"/>
      <c r="DG1043" s="6"/>
      <c r="DH1043" s="6"/>
      <c r="DI1043" s="6"/>
      <c r="DJ1043" s="6"/>
      <c r="DK1043" s="6"/>
      <c r="DL1043" s="6"/>
      <c r="DM1043" s="6"/>
      <c r="DN1043" s="6"/>
      <c r="DO1043" s="6"/>
      <c r="DP1043" s="6"/>
      <c r="DQ1043" s="6"/>
      <c r="DR1043" s="6"/>
      <c r="DS1043" s="6"/>
      <c r="DT1043" s="6"/>
      <c r="DU1043" s="6"/>
      <c r="DV1043" s="6"/>
      <c r="DW1043" s="6"/>
      <c r="DX1043" s="6"/>
      <c r="DY1043" s="6"/>
      <c r="DZ1043" s="6"/>
      <c r="EA1043" s="6"/>
      <c r="EB1043" s="6"/>
      <c r="EC1043" s="6"/>
      <c r="ED1043" s="6"/>
      <c r="EE1043" s="6"/>
      <c r="EF1043" s="6"/>
      <c r="EG1043" s="6"/>
      <c r="EH1043" s="6"/>
      <c r="EI1043" s="6"/>
      <c r="EJ1043" s="6"/>
      <c r="EK1043" s="6"/>
      <c r="EL1043" s="6"/>
      <c r="EM1043" s="6"/>
      <c r="EN1043" s="6"/>
      <c r="EO1043" s="6"/>
      <c r="EP1043" s="6"/>
      <c r="EQ1043" s="6"/>
      <c r="ER1043" s="6"/>
      <c r="ES1043" s="6"/>
      <c r="ET1043" s="6"/>
      <c r="EU1043" s="6"/>
      <c r="EV1043" s="6"/>
      <c r="EW1043" s="6"/>
      <c r="EX1043" s="6"/>
      <c r="EY1043" s="6"/>
      <c r="EZ1043" s="6"/>
      <c r="FA1043" s="6"/>
      <c r="FB1043" s="6"/>
      <c r="FC1043" s="6"/>
      <c r="FD1043" s="6"/>
      <c r="FE1043" s="6"/>
      <c r="FF1043" s="6"/>
      <c r="FG1043" s="6"/>
      <c r="FH1043" s="6"/>
      <c r="FI1043" s="6"/>
      <c r="FJ1043" s="6"/>
      <c r="FK1043" s="6"/>
      <c r="FL1043" s="6"/>
      <c r="FM1043" s="6"/>
      <c r="FN1043" s="6"/>
      <c r="FO1043" s="6"/>
      <c r="FP1043" s="6"/>
      <c r="FQ1043" s="6"/>
      <c r="FR1043" s="6"/>
      <c r="FS1043" s="6"/>
      <c r="FT1043" s="6"/>
      <c r="FU1043" s="6"/>
      <c r="FV1043" s="6"/>
      <c r="FW1043" s="6"/>
      <c r="FX1043" s="6"/>
      <c r="FY1043" s="6"/>
      <c r="FZ1043" s="6"/>
      <c r="GA1043" s="6"/>
      <c r="GB1043" s="6"/>
      <c r="GC1043" s="6"/>
      <c r="GD1043" s="6"/>
      <c r="GE1043" s="6"/>
      <c r="GF1043" s="6"/>
      <c r="GG1043" s="6"/>
      <c r="GH1043" s="6"/>
      <c r="GI1043" s="6"/>
      <c r="GJ1043" s="6"/>
      <c r="GK1043" s="6"/>
      <c r="GL1043" s="6"/>
      <c r="GM1043" s="6"/>
      <c r="GN1043" s="6"/>
      <c r="GO1043" s="6"/>
      <c r="GP1043" s="6"/>
      <c r="GQ1043" s="6"/>
      <c r="GR1043" s="6"/>
      <c r="GS1043" s="6"/>
      <c r="GT1043" s="6"/>
      <c r="GU1043" s="6"/>
      <c r="GV1043" s="6"/>
      <c r="GW1043" s="6"/>
      <c r="GX1043" s="6"/>
      <c r="GY1043" s="6"/>
      <c r="GZ1043" s="6"/>
      <c r="HA1043" s="6"/>
      <c r="HB1043" s="6"/>
      <c r="HC1043" s="6"/>
      <c r="HD1043" s="6"/>
      <c r="HE1043" s="6"/>
      <c r="HF1043" s="6"/>
      <c r="HG1043" s="6"/>
      <c r="HH1043" s="6"/>
      <c r="HI1043" s="6"/>
      <c r="HJ1043" s="6"/>
      <c r="HK1043" s="6"/>
      <c r="HL1043" s="6"/>
      <c r="HM1043" s="6"/>
      <c r="HN1043" s="6"/>
      <c r="HO1043" s="6"/>
      <c r="HP1043" s="6"/>
      <c r="HQ1043" s="6"/>
      <c r="HR1043" s="6"/>
      <c r="HS1043" s="6"/>
      <c r="HT1043" s="6"/>
      <c r="HU1043" s="6"/>
      <c r="HV1043" s="6"/>
      <c r="HW1043" s="6"/>
      <c r="HX1043" s="6"/>
      <c r="HY1043" s="6"/>
      <c r="HZ1043" s="6"/>
      <c r="IA1043" s="6"/>
      <c r="IB1043" s="6"/>
      <c r="IC1043" s="6"/>
      <c r="ID1043" s="6"/>
      <c r="IE1043" s="6"/>
      <c r="IF1043" s="6"/>
      <c r="IG1043" s="6"/>
      <c r="IH1043" s="6"/>
      <c r="II1043" s="6"/>
      <c r="IJ1043" s="6"/>
      <c r="IK1043" s="6"/>
      <c r="IL1043" s="6"/>
      <c r="IM1043" s="6"/>
      <c r="IN1043" s="6"/>
      <c r="IO1043" s="6"/>
      <c r="IP1043" s="6"/>
      <c r="IQ1043" s="6"/>
      <c r="IR1043" s="6"/>
      <c r="IS1043" s="6"/>
      <c r="IT1043" s="6"/>
      <c r="IU1043" s="6"/>
      <c r="IV1043" s="6"/>
      <c r="IW1043" s="6"/>
      <c r="IX1043" s="6"/>
    </row>
    <row r="1044" spans="1:258" ht="24.6" customHeight="1" x14ac:dyDescent="0.3">
      <c r="A1044" s="46" t="s">
        <v>1842</v>
      </c>
      <c r="B1044" s="49" t="s">
        <v>714</v>
      </c>
      <c r="C1044" s="2">
        <f t="shared" si="258"/>
        <v>1747680</v>
      </c>
      <c r="D1044" s="3">
        <f t="shared" si="259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32">
        <v>264.8</v>
      </c>
      <c r="N1044" s="3">
        <f t="shared" si="266"/>
        <v>1747680</v>
      </c>
      <c r="O1044" s="3">
        <v>0</v>
      </c>
      <c r="P1044" s="3">
        <v>0</v>
      </c>
      <c r="Q1044" s="3">
        <v>0</v>
      </c>
      <c r="R1044" s="3">
        <f t="shared" si="265"/>
        <v>0</v>
      </c>
      <c r="S1044" s="3">
        <v>0</v>
      </c>
      <c r="T1044" s="32">
        <v>0</v>
      </c>
      <c r="U1044" s="3">
        <v>0</v>
      </c>
      <c r="V1044" s="6">
        <f t="shared" si="260"/>
        <v>6600</v>
      </c>
    </row>
    <row r="1045" spans="1:258" ht="25.2" customHeight="1" x14ac:dyDescent="0.3">
      <c r="A1045" s="46" t="s">
        <v>1843</v>
      </c>
      <c r="B1045" s="49" t="s">
        <v>783</v>
      </c>
      <c r="C1045" s="2">
        <f t="shared" si="258"/>
        <v>2504400</v>
      </c>
      <c r="D1045" s="3">
        <f t="shared" si="259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3">
        <v>334</v>
      </c>
      <c r="N1045" s="3">
        <f t="shared" si="266"/>
        <v>2204400</v>
      </c>
      <c r="O1045" s="3">
        <v>0</v>
      </c>
      <c r="P1045" s="3">
        <v>0</v>
      </c>
      <c r="Q1045" s="3">
        <v>0</v>
      </c>
      <c r="R1045" s="3">
        <f t="shared" si="265"/>
        <v>0</v>
      </c>
      <c r="S1045" s="3">
        <v>0</v>
      </c>
      <c r="T1045" s="32">
        <v>0</v>
      </c>
      <c r="U1045" s="3">
        <v>300000</v>
      </c>
      <c r="V1045" s="6">
        <f t="shared" si="260"/>
        <v>6600</v>
      </c>
    </row>
    <row r="1046" spans="1:258" ht="25.2" customHeight="1" x14ac:dyDescent="0.3">
      <c r="A1046" s="46" t="s">
        <v>1844</v>
      </c>
      <c r="B1046" s="49" t="s">
        <v>624</v>
      </c>
      <c r="C1046" s="2">
        <f t="shared" si="258"/>
        <v>3339600</v>
      </c>
      <c r="D1046" s="3">
        <f t="shared" si="259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33">
        <v>0</v>
      </c>
      <c r="L1046" s="32">
        <v>0</v>
      </c>
      <c r="M1046" s="32">
        <v>506</v>
      </c>
      <c r="N1046" s="3">
        <f t="shared" si="266"/>
        <v>3339600</v>
      </c>
      <c r="O1046" s="32">
        <v>0</v>
      </c>
      <c r="P1046" s="32">
        <v>0</v>
      </c>
      <c r="Q1046" s="32">
        <v>0</v>
      </c>
      <c r="R1046" s="3">
        <f t="shared" si="265"/>
        <v>0</v>
      </c>
      <c r="S1046" s="32">
        <v>0</v>
      </c>
      <c r="T1046" s="32">
        <v>0</v>
      </c>
      <c r="U1046" s="32">
        <v>0</v>
      </c>
      <c r="V1046" s="6">
        <f t="shared" si="260"/>
        <v>6600</v>
      </c>
    </row>
    <row r="1047" spans="1:258" ht="25.2" customHeight="1" x14ac:dyDescent="0.3">
      <c r="A1047" s="46" t="s">
        <v>1845</v>
      </c>
      <c r="B1047" s="54" t="s">
        <v>716</v>
      </c>
      <c r="C1047" s="2">
        <f t="shared" si="258"/>
        <v>10709820</v>
      </c>
      <c r="D1047" s="3">
        <f t="shared" si="259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3">
        <v>1622.7</v>
      </c>
      <c r="N1047" s="3">
        <f t="shared" si="266"/>
        <v>10709820</v>
      </c>
      <c r="O1047" s="3">
        <v>0</v>
      </c>
      <c r="P1047" s="3">
        <v>0</v>
      </c>
      <c r="Q1047" s="3">
        <v>0</v>
      </c>
      <c r="R1047" s="3">
        <f t="shared" si="265"/>
        <v>0</v>
      </c>
      <c r="S1047" s="3">
        <v>0</v>
      </c>
      <c r="T1047" s="32">
        <v>0</v>
      </c>
      <c r="U1047" s="3">
        <v>0</v>
      </c>
      <c r="V1047" s="6">
        <f t="shared" si="260"/>
        <v>6600</v>
      </c>
    </row>
    <row r="1048" spans="1:258" ht="25.2" customHeight="1" x14ac:dyDescent="0.3">
      <c r="A1048" s="46" t="s">
        <v>1846</v>
      </c>
      <c r="B1048" s="55" t="s">
        <v>862</v>
      </c>
      <c r="C1048" s="2">
        <f t="shared" si="258"/>
        <v>17105800</v>
      </c>
      <c r="D1048" s="3">
        <f t="shared" si="259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3">
        <v>1081</v>
      </c>
      <c r="N1048" s="3">
        <f t="shared" si="266"/>
        <v>7134600</v>
      </c>
      <c r="O1048" s="3">
        <v>0</v>
      </c>
      <c r="P1048" s="3">
        <v>0</v>
      </c>
      <c r="Q1048" s="3">
        <v>3116</v>
      </c>
      <c r="R1048" s="3">
        <f t="shared" si="265"/>
        <v>9971200</v>
      </c>
      <c r="S1048" s="3">
        <v>0</v>
      </c>
      <c r="T1048" s="3">
        <v>0</v>
      </c>
      <c r="U1048" s="3">
        <v>0</v>
      </c>
      <c r="V1048" s="6">
        <f t="shared" si="260"/>
        <v>6600</v>
      </c>
    </row>
    <row r="1049" spans="1:258" ht="25.2" customHeight="1" x14ac:dyDescent="0.3">
      <c r="A1049" s="46" t="s">
        <v>1847</v>
      </c>
      <c r="B1049" s="49" t="s">
        <v>365</v>
      </c>
      <c r="C1049" s="2">
        <f t="shared" si="258"/>
        <v>24538710</v>
      </c>
      <c r="D1049" s="3">
        <f t="shared" si="259"/>
        <v>6321110</v>
      </c>
      <c r="E1049" s="3">
        <f>700*3718.3</f>
        <v>2602810</v>
      </c>
      <c r="F1049" s="3">
        <v>0</v>
      </c>
      <c r="G1049" s="3">
        <f>300*3718.3</f>
        <v>1115490</v>
      </c>
      <c r="H1049" s="3">
        <f>400*3718.3</f>
        <v>1487320</v>
      </c>
      <c r="I1049" s="3">
        <f>300*3718.3</f>
        <v>1115490</v>
      </c>
      <c r="J1049" s="3">
        <f>350*0</f>
        <v>0</v>
      </c>
      <c r="K1049" s="4">
        <v>0</v>
      </c>
      <c r="L1049" s="3">
        <v>0</v>
      </c>
      <c r="M1049" s="3">
        <v>1296</v>
      </c>
      <c r="N1049" s="3">
        <f t="shared" si="266"/>
        <v>8553600</v>
      </c>
      <c r="O1049" s="3">
        <v>0</v>
      </c>
      <c r="P1049" s="3">
        <v>0</v>
      </c>
      <c r="Q1049" s="3">
        <v>3020</v>
      </c>
      <c r="R1049" s="3">
        <f t="shared" si="265"/>
        <v>9664000</v>
      </c>
      <c r="S1049" s="3">
        <v>0</v>
      </c>
      <c r="T1049" s="3">
        <v>0</v>
      </c>
      <c r="U1049" s="3">
        <v>0</v>
      </c>
      <c r="V1049" s="6">
        <f t="shared" si="260"/>
        <v>6600</v>
      </c>
    </row>
    <row r="1050" spans="1:258" ht="25.2" customHeight="1" x14ac:dyDescent="0.3">
      <c r="A1050" s="46" t="s">
        <v>1848</v>
      </c>
      <c r="B1050" s="55" t="s">
        <v>1202</v>
      </c>
      <c r="C1050" s="2">
        <f t="shared" si="258"/>
        <v>12671120</v>
      </c>
      <c r="D1050" s="3">
        <f t="shared" si="259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3">
        <v>853.2</v>
      </c>
      <c r="N1050" s="3">
        <f t="shared" si="266"/>
        <v>5631120</v>
      </c>
      <c r="O1050" s="3">
        <v>0</v>
      </c>
      <c r="P1050" s="3">
        <v>0</v>
      </c>
      <c r="Q1050" s="3">
        <v>2200</v>
      </c>
      <c r="R1050" s="3">
        <f t="shared" si="265"/>
        <v>7040000</v>
      </c>
      <c r="S1050" s="3">
        <v>0</v>
      </c>
      <c r="T1050" s="3">
        <v>0</v>
      </c>
      <c r="U1050" s="3">
        <v>0</v>
      </c>
      <c r="V1050" s="6">
        <f t="shared" si="260"/>
        <v>6600</v>
      </c>
    </row>
    <row r="1051" spans="1:258" ht="25.2" customHeight="1" x14ac:dyDescent="0.3">
      <c r="A1051" s="46" t="s">
        <v>1849</v>
      </c>
      <c r="B1051" s="49" t="s">
        <v>372</v>
      </c>
      <c r="C1051" s="2">
        <f t="shared" si="258"/>
        <v>9328900</v>
      </c>
      <c r="D1051" s="3">
        <f t="shared" si="259"/>
        <v>8478900</v>
      </c>
      <c r="E1051" s="3">
        <f>700*2826.3</f>
        <v>1978410.0000000002</v>
      </c>
      <c r="F1051" s="3">
        <f>1300*2826.3</f>
        <v>3674190.0000000005</v>
      </c>
      <c r="G1051" s="3">
        <f>300*2826.3</f>
        <v>847890</v>
      </c>
      <c r="H1051" s="3">
        <f>400*2826.3</f>
        <v>1130520</v>
      </c>
      <c r="I1051" s="3">
        <f>300*2826.3</f>
        <v>847890</v>
      </c>
      <c r="J1051" s="3">
        <f>350*0</f>
        <v>0</v>
      </c>
      <c r="K1051" s="4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850000</v>
      </c>
      <c r="V1051" s="6" t="e">
        <f t="shared" si="260"/>
        <v>#DIV/0!</v>
      </c>
    </row>
    <row r="1052" spans="1:258" ht="25.2" customHeight="1" x14ac:dyDescent="0.3">
      <c r="A1052" s="46" t="s">
        <v>1850</v>
      </c>
      <c r="B1052" s="49" t="s">
        <v>435</v>
      </c>
      <c r="C1052" s="2">
        <f t="shared" ref="C1052:C1102" si="267">D1052+L1052+N1052+P1052+R1052+S1052+T1052+U1052</f>
        <v>16148800.000000002</v>
      </c>
      <c r="D1052" s="3">
        <f t="shared" ref="D1052:D1102" si="268">SUM(E1052:J1052)</f>
        <v>15298800.000000002</v>
      </c>
      <c r="E1052" s="3">
        <f>700*5099.6</f>
        <v>3569720.0000000005</v>
      </c>
      <c r="F1052" s="3">
        <f>1300*5099.6</f>
        <v>6629480.0000000009</v>
      </c>
      <c r="G1052" s="3">
        <f>300*5099.6</f>
        <v>1529880</v>
      </c>
      <c r="H1052" s="3">
        <f>400*5099.6</f>
        <v>2039840.0000000002</v>
      </c>
      <c r="I1052" s="3">
        <f>300*5099.6</f>
        <v>1529880</v>
      </c>
      <c r="J1052" s="3">
        <f>350*0</f>
        <v>0</v>
      </c>
      <c r="K1052" s="4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850000</v>
      </c>
      <c r="V1052" s="6" t="e">
        <f t="shared" ref="V1052:V1102" si="269">N1052/M1052</f>
        <v>#DIV/0!</v>
      </c>
    </row>
    <row r="1053" spans="1:258" ht="25.2" customHeight="1" x14ac:dyDescent="0.3">
      <c r="A1053" s="46" t="s">
        <v>1851</v>
      </c>
      <c r="B1053" s="49" t="s">
        <v>532</v>
      </c>
      <c r="C1053" s="2">
        <f t="shared" si="267"/>
        <v>12693000</v>
      </c>
      <c r="D1053" s="3">
        <f t="shared" si="268"/>
        <v>12693000</v>
      </c>
      <c r="E1053" s="3">
        <f>700*4231</f>
        <v>2961700</v>
      </c>
      <c r="F1053" s="3">
        <f>1300*4231</f>
        <v>5500300</v>
      </c>
      <c r="G1053" s="3">
        <f>300*4231</f>
        <v>1269300</v>
      </c>
      <c r="H1053" s="3">
        <f>400*4231</f>
        <v>1692400</v>
      </c>
      <c r="I1053" s="3">
        <f>300*4231</f>
        <v>1269300</v>
      </c>
      <c r="J1053" s="3">
        <v>0</v>
      </c>
      <c r="K1053" s="33">
        <v>0</v>
      </c>
      <c r="L1053" s="32">
        <v>0</v>
      </c>
      <c r="M1053" s="32">
        <v>0</v>
      </c>
      <c r="N1053" s="32">
        <v>0</v>
      </c>
      <c r="O1053" s="32">
        <v>0</v>
      </c>
      <c r="P1053" s="32">
        <v>0</v>
      </c>
      <c r="Q1053" s="32">
        <v>0</v>
      </c>
      <c r="R1053" s="3">
        <v>0</v>
      </c>
      <c r="S1053" s="32">
        <v>0</v>
      </c>
      <c r="T1053" s="32">
        <v>0</v>
      </c>
      <c r="U1053" s="32">
        <v>0</v>
      </c>
      <c r="V1053" s="6" t="e">
        <f t="shared" si="269"/>
        <v>#DIV/0!</v>
      </c>
    </row>
    <row r="1054" spans="1:258" ht="25.2" customHeight="1" x14ac:dyDescent="0.3">
      <c r="A1054" s="46" t="s">
        <v>1852</v>
      </c>
      <c r="B1054" s="49" t="s">
        <v>359</v>
      </c>
      <c r="C1054" s="2">
        <f t="shared" si="267"/>
        <v>4108500</v>
      </c>
      <c r="D1054" s="3">
        <f t="shared" si="268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3">
        <v>622.5</v>
      </c>
      <c r="N1054" s="3">
        <f>M1054*6600</f>
        <v>4108500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6">
        <f t="shared" si="269"/>
        <v>6600</v>
      </c>
    </row>
    <row r="1055" spans="1:258" ht="25.2" customHeight="1" x14ac:dyDescent="0.3">
      <c r="A1055" s="46" t="s">
        <v>1853</v>
      </c>
      <c r="B1055" s="54" t="s">
        <v>626</v>
      </c>
      <c r="C1055" s="2">
        <f t="shared" si="267"/>
        <v>6098400</v>
      </c>
      <c r="D1055" s="3">
        <f t="shared" si="268"/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33">
        <v>0</v>
      </c>
      <c r="L1055" s="32">
        <v>0</v>
      </c>
      <c r="M1055" s="32">
        <v>924</v>
      </c>
      <c r="N1055" s="3">
        <f>M1055*6600</f>
        <v>6098400</v>
      </c>
      <c r="O1055" s="32">
        <v>0</v>
      </c>
      <c r="P1055" s="32">
        <v>0</v>
      </c>
      <c r="Q1055" s="32">
        <v>0</v>
      </c>
      <c r="R1055" s="3">
        <f>Q1055*3000</f>
        <v>0</v>
      </c>
      <c r="S1055" s="32">
        <v>0</v>
      </c>
      <c r="T1055" s="32">
        <v>0</v>
      </c>
      <c r="U1055" s="32">
        <v>0</v>
      </c>
      <c r="V1055" s="6">
        <f t="shared" si="269"/>
        <v>6600</v>
      </c>
    </row>
    <row r="1056" spans="1:258" ht="25.2" customHeight="1" x14ac:dyDescent="0.3">
      <c r="A1056" s="46" t="s">
        <v>1854</v>
      </c>
      <c r="B1056" s="54" t="s">
        <v>718</v>
      </c>
      <c r="C1056" s="2">
        <f t="shared" si="267"/>
        <v>7854000</v>
      </c>
      <c r="D1056" s="3">
        <f t="shared" si="268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1190</v>
      </c>
      <c r="N1056" s="3">
        <f>M1056*6600</f>
        <v>7854000</v>
      </c>
      <c r="O1056" s="3">
        <v>0</v>
      </c>
      <c r="P1056" s="3">
        <v>0</v>
      </c>
      <c r="Q1056" s="3">
        <v>0</v>
      </c>
      <c r="R1056" s="3">
        <f>Q1056*3200</f>
        <v>0</v>
      </c>
      <c r="S1056" s="3">
        <v>0</v>
      </c>
      <c r="T1056" s="32">
        <v>0</v>
      </c>
      <c r="U1056" s="3">
        <v>0</v>
      </c>
      <c r="V1056" s="6">
        <f t="shared" si="269"/>
        <v>6600</v>
      </c>
    </row>
    <row r="1057" spans="1:258" ht="25.2" customHeight="1" x14ac:dyDescent="0.3">
      <c r="A1057" s="46" t="s">
        <v>1855</v>
      </c>
      <c r="B1057" s="54" t="s">
        <v>719</v>
      </c>
      <c r="C1057" s="2">
        <f t="shared" si="267"/>
        <v>7854000</v>
      </c>
      <c r="D1057" s="3">
        <f t="shared" si="268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1190</v>
      </c>
      <c r="N1057" s="3">
        <f>M1057*6600</f>
        <v>7854000</v>
      </c>
      <c r="O1057" s="3">
        <v>0</v>
      </c>
      <c r="P1057" s="3">
        <v>0</v>
      </c>
      <c r="Q1057" s="3">
        <v>0</v>
      </c>
      <c r="R1057" s="3">
        <f>Q1057*3200</f>
        <v>0</v>
      </c>
      <c r="S1057" s="3">
        <v>0</v>
      </c>
      <c r="T1057" s="32">
        <v>0</v>
      </c>
      <c r="U1057" s="3">
        <v>0</v>
      </c>
      <c r="V1057" s="6">
        <f t="shared" si="269"/>
        <v>6600</v>
      </c>
      <c r="W1057" s="59"/>
      <c r="X1057" s="59"/>
      <c r="Y1057" s="59"/>
      <c r="Z1057" s="59"/>
      <c r="AA1057" s="59"/>
      <c r="AB1057" s="59"/>
      <c r="AC1057" s="59"/>
      <c r="AD1057" s="59"/>
      <c r="AE1057" s="59"/>
      <c r="AF1057" s="59"/>
      <c r="AG1057" s="59"/>
      <c r="AH1057" s="59"/>
      <c r="AI1057" s="59"/>
      <c r="AJ1057" s="59"/>
      <c r="AK1057" s="59"/>
      <c r="AL1057" s="59"/>
      <c r="AM1057" s="59"/>
      <c r="AN1057" s="59"/>
      <c r="AO1057" s="59"/>
      <c r="AP1057" s="59"/>
      <c r="AQ1057" s="59"/>
      <c r="AR1057" s="59"/>
      <c r="AS1057" s="59"/>
      <c r="AT1057" s="59"/>
      <c r="AU1057" s="59"/>
      <c r="AV1057" s="59"/>
      <c r="AW1057" s="59"/>
      <c r="AX1057" s="59"/>
      <c r="AY1057" s="59"/>
      <c r="AZ1057" s="59"/>
      <c r="BA1057" s="59"/>
      <c r="BB1057" s="59"/>
      <c r="BC1057" s="59"/>
      <c r="BD1057" s="59"/>
      <c r="BE1057" s="59"/>
      <c r="BF1057" s="59"/>
      <c r="BG1057" s="59"/>
      <c r="BH1057" s="59"/>
      <c r="BI1057" s="59"/>
      <c r="BJ1057" s="59"/>
      <c r="BK1057" s="59"/>
      <c r="BL1057" s="59"/>
      <c r="BM1057" s="59"/>
      <c r="BN1057" s="59"/>
      <c r="BO1057" s="59"/>
      <c r="BP1057" s="59"/>
      <c r="BQ1057" s="59"/>
      <c r="BR1057" s="59"/>
      <c r="BS1057" s="59"/>
      <c r="BT1057" s="59"/>
      <c r="BU1057" s="59"/>
      <c r="BV1057" s="59"/>
      <c r="BW1057" s="59"/>
      <c r="BX1057" s="59"/>
      <c r="BY1057" s="59"/>
      <c r="BZ1057" s="59"/>
      <c r="CA1057" s="59"/>
      <c r="CB1057" s="59"/>
      <c r="CC1057" s="59"/>
      <c r="CD1057" s="59"/>
      <c r="CE1057" s="59"/>
      <c r="CF1057" s="59"/>
      <c r="CG1057" s="59"/>
      <c r="CH1057" s="59"/>
      <c r="CI1057" s="59"/>
      <c r="CJ1057" s="59"/>
      <c r="CK1057" s="59"/>
      <c r="CL1057" s="59"/>
      <c r="CM1057" s="59"/>
      <c r="CN1057" s="59"/>
      <c r="CO1057" s="59"/>
      <c r="CP1057" s="59"/>
      <c r="CQ1057" s="59"/>
      <c r="CR1057" s="59"/>
      <c r="CS1057" s="59"/>
      <c r="CT1057" s="59"/>
      <c r="CU1057" s="59"/>
      <c r="CV1057" s="59"/>
      <c r="CW1057" s="59"/>
      <c r="CX1057" s="59"/>
      <c r="CY1057" s="59"/>
      <c r="CZ1057" s="59"/>
      <c r="DA1057" s="59"/>
      <c r="DB1057" s="59"/>
      <c r="DC1057" s="59"/>
      <c r="DD1057" s="59"/>
      <c r="DE1057" s="59"/>
      <c r="DF1057" s="59"/>
      <c r="DG1057" s="59"/>
      <c r="DH1057" s="59"/>
      <c r="DI1057" s="59"/>
      <c r="DJ1057" s="59"/>
      <c r="DK1057" s="59"/>
      <c r="DL1057" s="59"/>
      <c r="DM1057" s="59"/>
      <c r="DN1057" s="59"/>
      <c r="DO1057" s="59"/>
      <c r="DP1057" s="59"/>
      <c r="DQ1057" s="59"/>
      <c r="DR1057" s="59"/>
      <c r="DS1057" s="59"/>
      <c r="DT1057" s="59"/>
      <c r="DU1057" s="59"/>
      <c r="DV1057" s="59"/>
      <c r="DW1057" s="59"/>
      <c r="DX1057" s="59"/>
      <c r="DY1057" s="59"/>
      <c r="DZ1057" s="59"/>
      <c r="EA1057" s="59"/>
      <c r="EB1057" s="59"/>
      <c r="EC1057" s="59"/>
      <c r="ED1057" s="59"/>
      <c r="EE1057" s="59"/>
      <c r="EF1057" s="59"/>
      <c r="EG1057" s="59"/>
      <c r="EH1057" s="59"/>
      <c r="EI1057" s="59"/>
      <c r="EJ1057" s="59"/>
      <c r="EK1057" s="59"/>
      <c r="EL1057" s="59"/>
      <c r="EM1057" s="59"/>
      <c r="EN1057" s="59"/>
      <c r="EO1057" s="59"/>
      <c r="EP1057" s="59"/>
      <c r="EQ1057" s="59"/>
      <c r="ER1057" s="59"/>
      <c r="ES1057" s="59"/>
      <c r="ET1057" s="59"/>
      <c r="EU1057" s="59"/>
      <c r="EV1057" s="59"/>
      <c r="EW1057" s="59"/>
      <c r="EX1057" s="59"/>
      <c r="EY1057" s="59"/>
      <c r="EZ1057" s="59"/>
      <c r="FA1057" s="59"/>
      <c r="FB1057" s="59"/>
      <c r="FC1057" s="59"/>
      <c r="FD1057" s="59"/>
      <c r="FE1057" s="59"/>
      <c r="FF1057" s="59"/>
      <c r="FG1057" s="59"/>
      <c r="FH1057" s="59"/>
      <c r="FI1057" s="59"/>
      <c r="FJ1057" s="59"/>
      <c r="FK1057" s="59"/>
      <c r="FL1057" s="59"/>
      <c r="FM1057" s="59"/>
      <c r="FN1057" s="59"/>
      <c r="FO1057" s="59"/>
      <c r="FP1057" s="59"/>
      <c r="FQ1057" s="59"/>
      <c r="FR1057" s="59"/>
      <c r="FS1057" s="59"/>
      <c r="FT1057" s="59"/>
      <c r="FU1057" s="59"/>
      <c r="FV1057" s="59"/>
      <c r="FW1057" s="59"/>
      <c r="FX1057" s="59"/>
      <c r="FY1057" s="59"/>
      <c r="FZ1057" s="59"/>
      <c r="GA1057" s="59"/>
      <c r="GB1057" s="59"/>
      <c r="GC1057" s="59"/>
      <c r="GD1057" s="59"/>
      <c r="GE1057" s="59"/>
      <c r="GF1057" s="59"/>
      <c r="GG1057" s="59"/>
      <c r="GH1057" s="59"/>
      <c r="GI1057" s="59"/>
      <c r="GJ1057" s="59"/>
      <c r="GK1057" s="59"/>
      <c r="GL1057" s="59"/>
      <c r="GM1057" s="59"/>
      <c r="GN1057" s="59"/>
      <c r="GO1057" s="59"/>
      <c r="GP1057" s="59"/>
      <c r="GQ1057" s="59"/>
      <c r="GR1057" s="59"/>
      <c r="GS1057" s="59"/>
      <c r="GT1057" s="59"/>
      <c r="GU1057" s="59"/>
      <c r="GV1057" s="59"/>
      <c r="GW1057" s="59"/>
      <c r="GX1057" s="59"/>
      <c r="GY1057" s="59"/>
      <c r="GZ1057" s="59"/>
      <c r="HA1057" s="59"/>
      <c r="HB1057" s="59"/>
      <c r="HC1057" s="59"/>
      <c r="HD1057" s="59"/>
      <c r="HE1057" s="59"/>
      <c r="HF1057" s="59"/>
      <c r="HG1057" s="59"/>
      <c r="HH1057" s="59"/>
      <c r="HI1057" s="59"/>
      <c r="HJ1057" s="59"/>
      <c r="HK1057" s="59"/>
      <c r="HL1057" s="59"/>
      <c r="HM1057" s="59"/>
      <c r="HN1057" s="59"/>
      <c r="HO1057" s="59"/>
      <c r="HP1057" s="59"/>
      <c r="HQ1057" s="59"/>
      <c r="HR1057" s="59"/>
      <c r="HS1057" s="59"/>
      <c r="HT1057" s="59"/>
      <c r="HU1057" s="59"/>
      <c r="HV1057" s="59"/>
      <c r="HW1057" s="59"/>
      <c r="HX1057" s="59"/>
      <c r="HY1057" s="59"/>
      <c r="HZ1057" s="59"/>
      <c r="IA1057" s="59"/>
      <c r="IB1057" s="59"/>
      <c r="IC1057" s="59"/>
      <c r="ID1057" s="59"/>
      <c r="IE1057" s="59"/>
      <c r="IF1057" s="59"/>
      <c r="IG1057" s="59"/>
      <c r="IH1057" s="59"/>
      <c r="II1057" s="59"/>
      <c r="IJ1057" s="59"/>
      <c r="IK1057" s="59"/>
      <c r="IL1057" s="59"/>
      <c r="IM1057" s="59"/>
      <c r="IN1057" s="59"/>
      <c r="IO1057" s="59"/>
      <c r="IP1057" s="59"/>
      <c r="IQ1057" s="59"/>
      <c r="IR1057" s="59"/>
      <c r="IS1057" s="59"/>
      <c r="IT1057" s="59"/>
      <c r="IU1057" s="59"/>
      <c r="IV1057" s="59"/>
      <c r="IW1057" s="59"/>
      <c r="IX1057" s="59"/>
    </row>
    <row r="1058" spans="1:258" ht="25.2" customHeight="1" x14ac:dyDescent="0.3">
      <c r="A1058" s="46" t="s">
        <v>1856</v>
      </c>
      <c r="B1058" s="54" t="s">
        <v>717</v>
      </c>
      <c r="C1058" s="2">
        <f t="shared" si="267"/>
        <v>6156206.4000000004</v>
      </c>
      <c r="D1058" s="3">
        <f t="shared" si="268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957.2</v>
      </c>
      <c r="N1058" s="3">
        <v>6156206.4000000004</v>
      </c>
      <c r="O1058" s="3">
        <v>0</v>
      </c>
      <c r="P1058" s="3">
        <v>0</v>
      </c>
      <c r="Q1058" s="3">
        <v>0</v>
      </c>
      <c r="R1058" s="3">
        <f>Q1058*3200</f>
        <v>0</v>
      </c>
      <c r="S1058" s="3">
        <v>0</v>
      </c>
      <c r="T1058" s="32">
        <v>0</v>
      </c>
      <c r="U1058" s="3">
        <v>0</v>
      </c>
      <c r="V1058" s="6">
        <f t="shared" si="269"/>
        <v>6431.4734642707899</v>
      </c>
    </row>
    <row r="1059" spans="1:258" ht="24.6" customHeight="1" x14ac:dyDescent="0.3">
      <c r="A1059" s="46" t="s">
        <v>1857</v>
      </c>
      <c r="B1059" s="49" t="s">
        <v>627</v>
      </c>
      <c r="C1059" s="2">
        <f t="shared" si="267"/>
        <v>3182510</v>
      </c>
      <c r="D1059" s="3">
        <f t="shared" si="268"/>
        <v>3182510</v>
      </c>
      <c r="E1059" s="3">
        <v>0</v>
      </c>
      <c r="F1059" s="3">
        <f>1300*1383.7</f>
        <v>1798810</v>
      </c>
      <c r="G1059" s="3">
        <f>300*1383.7</f>
        <v>415110</v>
      </c>
      <c r="H1059" s="3">
        <f>400*1383.7</f>
        <v>553480</v>
      </c>
      <c r="I1059" s="3">
        <f>300*1383.7</f>
        <v>415110</v>
      </c>
      <c r="J1059" s="3">
        <v>0</v>
      </c>
      <c r="K1059" s="33">
        <v>0</v>
      </c>
      <c r="L1059" s="32">
        <v>0</v>
      </c>
      <c r="M1059" s="32">
        <v>0</v>
      </c>
      <c r="N1059" s="32">
        <v>0</v>
      </c>
      <c r="O1059" s="32">
        <v>0</v>
      </c>
      <c r="P1059" s="32">
        <v>0</v>
      </c>
      <c r="Q1059" s="32">
        <v>0</v>
      </c>
      <c r="R1059" s="3">
        <f>Q1059*3000</f>
        <v>0</v>
      </c>
      <c r="S1059" s="32">
        <v>0</v>
      </c>
      <c r="T1059" s="32">
        <v>0</v>
      </c>
      <c r="U1059" s="32">
        <v>0</v>
      </c>
      <c r="V1059" s="6" t="e">
        <f t="shared" si="269"/>
        <v>#DIV/0!</v>
      </c>
    </row>
    <row r="1060" spans="1:258" ht="25.2" customHeight="1" x14ac:dyDescent="0.3">
      <c r="A1060" s="46" t="s">
        <v>1858</v>
      </c>
      <c r="B1060" s="49" t="s">
        <v>533</v>
      </c>
      <c r="C1060" s="2">
        <f t="shared" si="267"/>
        <v>5703355.9999999991</v>
      </c>
      <c r="D1060" s="3">
        <f t="shared" si="268"/>
        <v>5703355.9999999991</v>
      </c>
      <c r="E1060" s="3">
        <v>0</v>
      </c>
      <c r="F1060" s="3">
        <f>1300*2479.72</f>
        <v>3223635.9999999995</v>
      </c>
      <c r="G1060" s="3">
        <f>300*2479.72</f>
        <v>743915.99999999988</v>
      </c>
      <c r="H1060" s="3">
        <f>400*2479.72</f>
        <v>991887.99999999988</v>
      </c>
      <c r="I1060" s="3">
        <f>300*2479.72</f>
        <v>743915.99999999988</v>
      </c>
      <c r="J1060" s="3">
        <v>0</v>
      </c>
      <c r="K1060" s="33">
        <v>0</v>
      </c>
      <c r="L1060" s="32">
        <v>0</v>
      </c>
      <c r="M1060" s="32">
        <v>0</v>
      </c>
      <c r="N1060" s="32">
        <v>0</v>
      </c>
      <c r="O1060" s="32">
        <v>0</v>
      </c>
      <c r="P1060" s="32">
        <v>0</v>
      </c>
      <c r="Q1060" s="32">
        <v>0</v>
      </c>
      <c r="R1060" s="3">
        <f>Q1060*3000</f>
        <v>0</v>
      </c>
      <c r="S1060" s="32">
        <v>0</v>
      </c>
      <c r="T1060" s="32">
        <v>0</v>
      </c>
      <c r="U1060" s="32">
        <v>0</v>
      </c>
      <c r="V1060" s="6" t="e">
        <f t="shared" si="269"/>
        <v>#DIV/0!</v>
      </c>
    </row>
    <row r="1061" spans="1:258" ht="25.2" customHeight="1" x14ac:dyDescent="0.3">
      <c r="A1061" s="46" t="s">
        <v>1859</v>
      </c>
      <c r="B1061" s="49" t="s">
        <v>628</v>
      </c>
      <c r="C1061" s="2">
        <f t="shared" si="267"/>
        <v>2648790</v>
      </c>
      <c r="D1061" s="3">
        <f t="shared" si="268"/>
        <v>2648790</v>
      </c>
      <c r="E1061" s="3">
        <v>0</v>
      </c>
      <c r="F1061" s="3">
        <f>1300*1394.1</f>
        <v>1812329.9999999998</v>
      </c>
      <c r="G1061" s="3">
        <f>300*1394.1</f>
        <v>418230</v>
      </c>
      <c r="H1061" s="3">
        <v>0</v>
      </c>
      <c r="I1061" s="3">
        <f>300*1394.1</f>
        <v>418230</v>
      </c>
      <c r="J1061" s="3">
        <v>0</v>
      </c>
      <c r="K1061" s="33">
        <v>0</v>
      </c>
      <c r="L1061" s="32">
        <v>0</v>
      </c>
      <c r="M1061" s="32">
        <v>0</v>
      </c>
      <c r="N1061" s="32">
        <v>0</v>
      </c>
      <c r="O1061" s="32">
        <v>0</v>
      </c>
      <c r="P1061" s="32">
        <v>0</v>
      </c>
      <c r="Q1061" s="32">
        <v>0</v>
      </c>
      <c r="R1061" s="3">
        <f>Q1061*3000</f>
        <v>0</v>
      </c>
      <c r="S1061" s="32">
        <v>0</v>
      </c>
      <c r="T1061" s="32">
        <v>0</v>
      </c>
      <c r="U1061" s="32">
        <v>0</v>
      </c>
      <c r="V1061" s="6" t="e">
        <f t="shared" si="269"/>
        <v>#DIV/0!</v>
      </c>
    </row>
    <row r="1062" spans="1:258" ht="25.2" customHeight="1" x14ac:dyDescent="0.3">
      <c r="A1062" s="46" t="s">
        <v>1981</v>
      </c>
      <c r="B1062" s="49" t="s">
        <v>720</v>
      </c>
      <c r="C1062" s="2">
        <f t="shared" si="267"/>
        <v>4339074.7300000004</v>
      </c>
      <c r="D1062" s="3">
        <f t="shared" si="268"/>
        <v>4175100</v>
      </c>
      <c r="E1062" s="3">
        <f>700*1391.7</f>
        <v>974190</v>
      </c>
      <c r="F1062" s="3">
        <f>1300*1391.7</f>
        <v>1809210</v>
      </c>
      <c r="G1062" s="3">
        <f>300*1391.7</f>
        <v>417510</v>
      </c>
      <c r="H1062" s="3">
        <f>400*1391.7</f>
        <v>556680</v>
      </c>
      <c r="I1062" s="3">
        <f>300*1391.7</f>
        <v>417510</v>
      </c>
      <c r="J1062" s="3">
        <v>0</v>
      </c>
      <c r="K1062" s="4">
        <v>0</v>
      </c>
      <c r="L1062" s="3">
        <v>0</v>
      </c>
      <c r="M1062" s="32">
        <v>0</v>
      </c>
      <c r="N1062" s="32">
        <v>0</v>
      </c>
      <c r="O1062" s="3">
        <v>0</v>
      </c>
      <c r="P1062" s="3">
        <v>0</v>
      </c>
      <c r="Q1062" s="3">
        <v>0</v>
      </c>
      <c r="R1062" s="3">
        <f>Q1062*3200</f>
        <v>0</v>
      </c>
      <c r="S1062" s="3">
        <v>0</v>
      </c>
      <c r="T1062" s="32">
        <v>0</v>
      </c>
      <c r="U1062" s="3">
        <v>163974.73000000001</v>
      </c>
      <c r="V1062" s="6" t="e">
        <f t="shared" si="269"/>
        <v>#DIV/0!</v>
      </c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  <c r="BU1062" s="6"/>
      <c r="BV1062" s="6"/>
      <c r="BW1062" s="6"/>
      <c r="BX1062" s="6"/>
      <c r="BY1062" s="6"/>
      <c r="BZ1062" s="6"/>
      <c r="CA1062" s="6"/>
      <c r="CB1062" s="6"/>
      <c r="CC1062" s="6"/>
      <c r="CD1062" s="6"/>
      <c r="CE1062" s="6"/>
      <c r="CF1062" s="6"/>
      <c r="CG1062" s="6"/>
      <c r="CH1062" s="6"/>
      <c r="CI1062" s="6"/>
      <c r="CJ1062" s="6"/>
      <c r="CK1062" s="6"/>
      <c r="CL1062" s="6"/>
      <c r="CM1062" s="6"/>
      <c r="CN1062" s="6"/>
      <c r="CO1062" s="6"/>
      <c r="CP1062" s="6"/>
      <c r="CQ1062" s="6"/>
      <c r="CR1062" s="6"/>
      <c r="CS1062" s="6"/>
      <c r="CT1062" s="6"/>
      <c r="CU1062" s="6"/>
      <c r="CV1062" s="6"/>
      <c r="CW1062" s="6"/>
      <c r="CX1062" s="6"/>
      <c r="CY1062" s="6"/>
      <c r="CZ1062" s="6"/>
      <c r="DA1062" s="6"/>
      <c r="DB1062" s="6"/>
      <c r="DC1062" s="6"/>
      <c r="DD1062" s="6"/>
      <c r="DE1062" s="6"/>
      <c r="DF1062" s="6"/>
      <c r="DG1062" s="6"/>
      <c r="DH1062" s="6"/>
      <c r="DI1062" s="6"/>
      <c r="DJ1062" s="6"/>
      <c r="DK1062" s="6"/>
      <c r="DL1062" s="6"/>
      <c r="DM1062" s="6"/>
      <c r="DN1062" s="6"/>
      <c r="DO1062" s="6"/>
      <c r="DP1062" s="6"/>
      <c r="DQ1062" s="6"/>
      <c r="DR1062" s="6"/>
      <c r="DS1062" s="6"/>
      <c r="DT1062" s="6"/>
      <c r="DU1062" s="6"/>
      <c r="DV1062" s="6"/>
      <c r="DW1062" s="6"/>
      <c r="DX1062" s="6"/>
      <c r="DY1062" s="6"/>
      <c r="DZ1062" s="6"/>
      <c r="EA1062" s="6"/>
      <c r="EB1062" s="6"/>
      <c r="EC1062" s="6"/>
      <c r="ED1062" s="6"/>
      <c r="EE1062" s="6"/>
      <c r="EF1062" s="6"/>
      <c r="EG1062" s="6"/>
      <c r="EH1062" s="6"/>
      <c r="EI1062" s="6"/>
      <c r="EJ1062" s="6"/>
      <c r="EK1062" s="6"/>
      <c r="EL1062" s="6"/>
      <c r="EM1062" s="6"/>
      <c r="EN1062" s="6"/>
      <c r="EO1062" s="6"/>
      <c r="EP1062" s="6"/>
      <c r="EQ1062" s="6"/>
      <c r="ER1062" s="6"/>
      <c r="ES1062" s="6"/>
      <c r="ET1062" s="6"/>
      <c r="EU1062" s="6"/>
      <c r="EV1062" s="6"/>
      <c r="EW1062" s="6"/>
      <c r="EX1062" s="6"/>
      <c r="EY1062" s="6"/>
      <c r="EZ1062" s="6"/>
      <c r="FA1062" s="6"/>
      <c r="FB1062" s="6"/>
      <c r="FC1062" s="6"/>
      <c r="FD1062" s="6"/>
      <c r="FE1062" s="6"/>
      <c r="FF1062" s="6"/>
      <c r="FG1062" s="6"/>
      <c r="FH1062" s="6"/>
      <c r="FI1062" s="6"/>
      <c r="FJ1062" s="6"/>
      <c r="FK1062" s="6"/>
      <c r="FL1062" s="6"/>
      <c r="FM1062" s="6"/>
      <c r="FN1062" s="6"/>
      <c r="FO1062" s="6"/>
      <c r="FP1062" s="6"/>
      <c r="FQ1062" s="6"/>
      <c r="FR1062" s="6"/>
      <c r="FS1062" s="6"/>
      <c r="FT1062" s="6"/>
      <c r="FU1062" s="6"/>
      <c r="FV1062" s="6"/>
      <c r="FW1062" s="6"/>
      <c r="FX1062" s="6"/>
      <c r="FY1062" s="6"/>
      <c r="FZ1062" s="6"/>
      <c r="GA1062" s="6"/>
      <c r="GB1062" s="6"/>
      <c r="GC1062" s="6"/>
      <c r="GD1062" s="6"/>
      <c r="GE1062" s="6"/>
      <c r="GF1062" s="6"/>
      <c r="GG1062" s="6"/>
      <c r="GH1062" s="6"/>
      <c r="GI1062" s="6"/>
      <c r="GJ1062" s="6"/>
      <c r="GK1062" s="6"/>
      <c r="GL1062" s="6"/>
      <c r="GM1062" s="6"/>
      <c r="GN1062" s="6"/>
      <c r="GO1062" s="6"/>
      <c r="GP1062" s="6"/>
      <c r="GQ1062" s="6"/>
      <c r="GR1062" s="6"/>
      <c r="GS1062" s="6"/>
      <c r="GT1062" s="6"/>
      <c r="GU1062" s="6"/>
      <c r="GV1062" s="6"/>
      <c r="GW1062" s="6"/>
      <c r="GX1062" s="6"/>
      <c r="GY1062" s="6"/>
      <c r="GZ1062" s="6"/>
      <c r="HA1062" s="6"/>
      <c r="HB1062" s="6"/>
      <c r="HC1062" s="6"/>
      <c r="HD1062" s="6"/>
      <c r="HE1062" s="6"/>
      <c r="HF1062" s="6"/>
      <c r="HG1062" s="6"/>
      <c r="HH1062" s="6"/>
      <c r="HI1062" s="6"/>
      <c r="HJ1062" s="6"/>
      <c r="HK1062" s="6"/>
      <c r="HL1062" s="6"/>
      <c r="HM1062" s="6"/>
      <c r="HN1062" s="6"/>
      <c r="HO1062" s="6"/>
      <c r="HP1062" s="6"/>
      <c r="HQ1062" s="6"/>
      <c r="HR1062" s="6"/>
      <c r="HS1062" s="6"/>
      <c r="HT1062" s="6"/>
      <c r="HU1062" s="6"/>
      <c r="HV1062" s="6"/>
      <c r="HW1062" s="6"/>
      <c r="HX1062" s="6"/>
      <c r="HY1062" s="6"/>
      <c r="HZ1062" s="6"/>
      <c r="IA1062" s="6"/>
      <c r="IB1062" s="6"/>
      <c r="IC1062" s="6"/>
      <c r="ID1062" s="6"/>
      <c r="IE1062" s="6"/>
      <c r="IF1062" s="6"/>
      <c r="IG1062" s="6"/>
      <c r="IH1062" s="6"/>
      <c r="II1062" s="6"/>
      <c r="IJ1062" s="6"/>
      <c r="IK1062" s="6"/>
      <c r="IL1062" s="6"/>
      <c r="IM1062" s="6"/>
      <c r="IN1062" s="6"/>
      <c r="IO1062" s="6"/>
      <c r="IP1062" s="6"/>
      <c r="IQ1062" s="6"/>
      <c r="IR1062" s="6"/>
      <c r="IS1062" s="6"/>
      <c r="IT1062" s="6"/>
      <c r="IU1062" s="6"/>
      <c r="IV1062" s="6"/>
      <c r="IW1062" s="6"/>
      <c r="IX1062" s="6"/>
    </row>
    <row r="1063" spans="1:258" ht="25.2" customHeight="1" x14ac:dyDescent="0.3">
      <c r="A1063" s="46" t="s">
        <v>1860</v>
      </c>
      <c r="B1063" s="49" t="s">
        <v>721</v>
      </c>
      <c r="C1063" s="2">
        <f t="shared" si="267"/>
        <v>300000</v>
      </c>
      <c r="D1063" s="3">
        <f t="shared" si="268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0</v>
      </c>
      <c r="N1063" s="3">
        <f t="shared" ref="N1063:N1068" si="270">M1063*6600</f>
        <v>0</v>
      </c>
      <c r="O1063" s="3">
        <v>0</v>
      </c>
      <c r="P1063" s="3">
        <v>0</v>
      </c>
      <c r="Q1063" s="3">
        <v>0</v>
      </c>
      <c r="R1063" s="3">
        <f>Q1063*3200</f>
        <v>0</v>
      </c>
      <c r="S1063" s="3">
        <v>0</v>
      </c>
      <c r="T1063" s="32">
        <v>0</v>
      </c>
      <c r="U1063" s="3">
        <v>300000</v>
      </c>
      <c r="V1063" s="6" t="e">
        <f t="shared" si="269"/>
        <v>#DIV/0!</v>
      </c>
      <c r="W1063" s="59"/>
      <c r="X1063" s="59"/>
      <c r="Y1063" s="59"/>
      <c r="Z1063" s="59"/>
      <c r="AA1063" s="59"/>
      <c r="AB1063" s="59"/>
      <c r="AC1063" s="59"/>
      <c r="AD1063" s="59"/>
      <c r="AE1063" s="59"/>
      <c r="AF1063" s="59"/>
      <c r="AG1063" s="59"/>
      <c r="AH1063" s="59"/>
      <c r="AI1063" s="59"/>
      <c r="AJ1063" s="59"/>
      <c r="AK1063" s="59"/>
      <c r="AL1063" s="59"/>
      <c r="AM1063" s="59"/>
      <c r="AN1063" s="59"/>
      <c r="AO1063" s="59"/>
      <c r="AP1063" s="59"/>
      <c r="AQ1063" s="59"/>
      <c r="AR1063" s="59"/>
      <c r="AS1063" s="59"/>
      <c r="AT1063" s="59"/>
      <c r="AU1063" s="59"/>
      <c r="AV1063" s="59"/>
      <c r="AW1063" s="59"/>
      <c r="AX1063" s="59"/>
      <c r="AY1063" s="59"/>
      <c r="AZ1063" s="59"/>
      <c r="BA1063" s="59"/>
      <c r="BB1063" s="59"/>
      <c r="BC1063" s="59"/>
      <c r="BD1063" s="59"/>
      <c r="BE1063" s="59"/>
      <c r="BF1063" s="59"/>
      <c r="BG1063" s="59"/>
      <c r="BH1063" s="59"/>
      <c r="BI1063" s="59"/>
      <c r="BJ1063" s="59"/>
      <c r="BK1063" s="59"/>
      <c r="BL1063" s="59"/>
      <c r="BM1063" s="59"/>
      <c r="BN1063" s="59"/>
      <c r="BO1063" s="59"/>
      <c r="BP1063" s="59"/>
      <c r="BQ1063" s="59"/>
      <c r="BR1063" s="59"/>
      <c r="BS1063" s="59"/>
      <c r="BT1063" s="59"/>
      <c r="BU1063" s="59"/>
      <c r="BV1063" s="59"/>
      <c r="BW1063" s="59"/>
      <c r="BX1063" s="59"/>
      <c r="BY1063" s="59"/>
      <c r="BZ1063" s="59"/>
      <c r="CA1063" s="59"/>
      <c r="CB1063" s="59"/>
      <c r="CC1063" s="59"/>
      <c r="CD1063" s="59"/>
      <c r="CE1063" s="59"/>
      <c r="CF1063" s="59"/>
      <c r="CG1063" s="59"/>
      <c r="CH1063" s="59"/>
      <c r="CI1063" s="59"/>
      <c r="CJ1063" s="59"/>
      <c r="CK1063" s="59"/>
      <c r="CL1063" s="59"/>
      <c r="CM1063" s="59"/>
      <c r="CN1063" s="59"/>
      <c r="CO1063" s="59"/>
      <c r="CP1063" s="59"/>
      <c r="CQ1063" s="59"/>
      <c r="CR1063" s="59"/>
      <c r="CS1063" s="59"/>
      <c r="CT1063" s="59"/>
      <c r="CU1063" s="59"/>
      <c r="CV1063" s="59"/>
      <c r="CW1063" s="59"/>
      <c r="CX1063" s="59"/>
      <c r="CY1063" s="59"/>
      <c r="CZ1063" s="59"/>
      <c r="DA1063" s="59"/>
      <c r="DB1063" s="59"/>
      <c r="DC1063" s="59"/>
      <c r="DD1063" s="59"/>
      <c r="DE1063" s="59"/>
      <c r="DF1063" s="59"/>
      <c r="DG1063" s="59"/>
      <c r="DH1063" s="59"/>
      <c r="DI1063" s="59"/>
      <c r="DJ1063" s="59"/>
      <c r="DK1063" s="59"/>
      <c r="DL1063" s="59"/>
      <c r="DM1063" s="59"/>
      <c r="DN1063" s="59"/>
      <c r="DO1063" s="59"/>
      <c r="DP1063" s="59"/>
      <c r="DQ1063" s="59"/>
      <c r="DR1063" s="59"/>
      <c r="DS1063" s="59"/>
      <c r="DT1063" s="59"/>
      <c r="DU1063" s="59"/>
      <c r="DV1063" s="59"/>
      <c r="DW1063" s="59"/>
      <c r="DX1063" s="59"/>
      <c r="DY1063" s="59"/>
      <c r="DZ1063" s="59"/>
      <c r="EA1063" s="59"/>
      <c r="EB1063" s="59"/>
      <c r="EC1063" s="59"/>
      <c r="ED1063" s="59"/>
      <c r="EE1063" s="59"/>
      <c r="EF1063" s="59"/>
      <c r="EG1063" s="59"/>
      <c r="EH1063" s="59"/>
      <c r="EI1063" s="59"/>
      <c r="EJ1063" s="59"/>
      <c r="EK1063" s="59"/>
      <c r="EL1063" s="59"/>
      <c r="EM1063" s="59"/>
      <c r="EN1063" s="59"/>
      <c r="EO1063" s="59"/>
      <c r="EP1063" s="59"/>
      <c r="EQ1063" s="59"/>
      <c r="ER1063" s="59"/>
      <c r="ES1063" s="59"/>
      <c r="ET1063" s="59"/>
      <c r="EU1063" s="59"/>
      <c r="EV1063" s="59"/>
      <c r="EW1063" s="59"/>
      <c r="EX1063" s="59"/>
      <c r="EY1063" s="59"/>
      <c r="EZ1063" s="59"/>
      <c r="FA1063" s="59"/>
      <c r="FB1063" s="59"/>
      <c r="FC1063" s="59"/>
      <c r="FD1063" s="59"/>
      <c r="FE1063" s="59"/>
      <c r="FF1063" s="59"/>
      <c r="FG1063" s="59"/>
      <c r="FH1063" s="59"/>
      <c r="FI1063" s="59"/>
      <c r="FJ1063" s="59"/>
      <c r="FK1063" s="59"/>
      <c r="FL1063" s="59"/>
      <c r="FM1063" s="59"/>
      <c r="FN1063" s="59"/>
      <c r="FO1063" s="59"/>
      <c r="FP1063" s="59"/>
      <c r="FQ1063" s="59"/>
      <c r="FR1063" s="59"/>
      <c r="FS1063" s="59"/>
      <c r="FT1063" s="59"/>
      <c r="FU1063" s="59"/>
      <c r="FV1063" s="59"/>
      <c r="FW1063" s="59"/>
      <c r="FX1063" s="59"/>
      <c r="FY1063" s="59"/>
      <c r="FZ1063" s="59"/>
      <c r="GA1063" s="59"/>
      <c r="GB1063" s="59"/>
      <c r="GC1063" s="59"/>
      <c r="GD1063" s="59"/>
      <c r="GE1063" s="59"/>
      <c r="GF1063" s="59"/>
      <c r="GG1063" s="59"/>
      <c r="GH1063" s="59"/>
      <c r="GI1063" s="59"/>
      <c r="GJ1063" s="59"/>
      <c r="GK1063" s="59"/>
      <c r="GL1063" s="59"/>
      <c r="GM1063" s="59"/>
      <c r="GN1063" s="59"/>
      <c r="GO1063" s="59"/>
      <c r="GP1063" s="59"/>
      <c r="GQ1063" s="59"/>
      <c r="GR1063" s="59"/>
      <c r="GS1063" s="59"/>
      <c r="GT1063" s="59"/>
      <c r="GU1063" s="59"/>
      <c r="GV1063" s="59"/>
      <c r="GW1063" s="59"/>
      <c r="GX1063" s="59"/>
      <c r="GY1063" s="59"/>
      <c r="GZ1063" s="59"/>
      <c r="HA1063" s="59"/>
      <c r="HB1063" s="59"/>
      <c r="HC1063" s="59"/>
      <c r="HD1063" s="59"/>
      <c r="HE1063" s="59"/>
      <c r="HF1063" s="59"/>
      <c r="HG1063" s="59"/>
      <c r="HH1063" s="59"/>
      <c r="HI1063" s="59"/>
      <c r="HJ1063" s="59"/>
      <c r="HK1063" s="59"/>
      <c r="HL1063" s="59"/>
      <c r="HM1063" s="59"/>
      <c r="HN1063" s="59"/>
      <c r="HO1063" s="59"/>
      <c r="HP1063" s="59"/>
      <c r="HQ1063" s="59"/>
      <c r="HR1063" s="59"/>
      <c r="HS1063" s="59"/>
      <c r="HT1063" s="59"/>
      <c r="HU1063" s="59"/>
      <c r="HV1063" s="59"/>
      <c r="HW1063" s="59"/>
      <c r="HX1063" s="59"/>
      <c r="HY1063" s="59"/>
      <c r="HZ1063" s="59"/>
      <c r="IA1063" s="59"/>
      <c r="IB1063" s="59"/>
      <c r="IC1063" s="59"/>
      <c r="ID1063" s="59"/>
      <c r="IE1063" s="59"/>
      <c r="IF1063" s="59"/>
      <c r="IG1063" s="59"/>
      <c r="IH1063" s="59"/>
      <c r="II1063" s="59"/>
      <c r="IJ1063" s="59"/>
      <c r="IK1063" s="59"/>
      <c r="IL1063" s="59"/>
      <c r="IM1063" s="59"/>
      <c r="IN1063" s="59"/>
      <c r="IO1063" s="59"/>
      <c r="IP1063" s="59"/>
      <c r="IQ1063" s="59"/>
      <c r="IR1063" s="59"/>
      <c r="IS1063" s="59"/>
      <c r="IT1063" s="59"/>
      <c r="IU1063" s="59"/>
      <c r="IV1063" s="59"/>
      <c r="IW1063" s="59"/>
      <c r="IX1063" s="59"/>
    </row>
    <row r="1064" spans="1:258" ht="25.2" customHeight="1" x14ac:dyDescent="0.3">
      <c r="A1064" s="46" t="s">
        <v>1861</v>
      </c>
      <c r="B1064" s="49" t="s">
        <v>534</v>
      </c>
      <c r="C1064" s="2">
        <f t="shared" si="267"/>
        <v>1815000</v>
      </c>
      <c r="D1064" s="3">
        <f t="shared" si="268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33">
        <v>0</v>
      </c>
      <c r="L1064" s="32">
        <v>0</v>
      </c>
      <c r="M1064" s="32">
        <v>275</v>
      </c>
      <c r="N1064" s="3">
        <f t="shared" si="270"/>
        <v>1815000</v>
      </c>
      <c r="O1064" s="32">
        <v>0</v>
      </c>
      <c r="P1064" s="32">
        <v>0</v>
      </c>
      <c r="Q1064" s="32">
        <v>0</v>
      </c>
      <c r="R1064" s="3">
        <f>Q1064*3200</f>
        <v>0</v>
      </c>
      <c r="S1064" s="32">
        <v>0</v>
      </c>
      <c r="T1064" s="32">
        <v>0</v>
      </c>
      <c r="U1064" s="32">
        <v>0</v>
      </c>
      <c r="V1064" s="6">
        <f t="shared" si="269"/>
        <v>6600</v>
      </c>
    </row>
    <row r="1065" spans="1:258" ht="25.2" customHeight="1" x14ac:dyDescent="0.3">
      <c r="A1065" s="46" t="s">
        <v>1862</v>
      </c>
      <c r="B1065" s="49" t="s">
        <v>631</v>
      </c>
      <c r="C1065" s="2">
        <f t="shared" si="267"/>
        <v>5979600</v>
      </c>
      <c r="D1065" s="3">
        <f t="shared" si="268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3">
        <v>0</v>
      </c>
      <c r="L1065" s="32">
        <v>0</v>
      </c>
      <c r="M1065" s="32">
        <v>906</v>
      </c>
      <c r="N1065" s="3">
        <f t="shared" si="270"/>
        <v>5979600</v>
      </c>
      <c r="O1065" s="32">
        <v>0</v>
      </c>
      <c r="P1065" s="32">
        <v>0</v>
      </c>
      <c r="Q1065" s="32">
        <v>0</v>
      </c>
      <c r="R1065" s="3">
        <f>Q1065*3000</f>
        <v>0</v>
      </c>
      <c r="S1065" s="32">
        <v>0</v>
      </c>
      <c r="T1065" s="32">
        <v>0</v>
      </c>
      <c r="U1065" s="32">
        <v>0</v>
      </c>
      <c r="V1065" s="6">
        <f t="shared" si="269"/>
        <v>6600</v>
      </c>
    </row>
    <row r="1066" spans="1:258" ht="25.2" customHeight="1" x14ac:dyDescent="0.3">
      <c r="A1066" s="46" t="s">
        <v>1863</v>
      </c>
      <c r="B1066" s="49" t="s">
        <v>536</v>
      </c>
      <c r="C1066" s="2">
        <f t="shared" si="267"/>
        <v>4187564</v>
      </c>
      <c r="D1066" s="3">
        <f t="shared" si="268"/>
        <v>1115764</v>
      </c>
      <c r="E1066" s="3">
        <f>700*429.14</f>
        <v>300398</v>
      </c>
      <c r="F1066" s="3">
        <f>1300*429.14</f>
        <v>557882</v>
      </c>
      <c r="G1066" s="3">
        <f>300*429.14</f>
        <v>128742</v>
      </c>
      <c r="H1066" s="3">
        <v>0</v>
      </c>
      <c r="I1066" s="3">
        <f>300*429.14</f>
        <v>128742</v>
      </c>
      <c r="J1066" s="3">
        <v>0</v>
      </c>
      <c r="K1066" s="33">
        <v>0</v>
      </c>
      <c r="L1066" s="32">
        <v>0</v>
      </c>
      <c r="M1066" s="32">
        <v>251</v>
      </c>
      <c r="N1066" s="3">
        <f t="shared" si="270"/>
        <v>1656600</v>
      </c>
      <c r="O1066" s="32">
        <v>0</v>
      </c>
      <c r="P1066" s="32">
        <v>0</v>
      </c>
      <c r="Q1066" s="32">
        <v>411</v>
      </c>
      <c r="R1066" s="3">
        <f t="shared" ref="R1066:R1076" si="271">Q1066*3200</f>
        <v>1315200</v>
      </c>
      <c r="S1066" s="32">
        <v>0</v>
      </c>
      <c r="T1066" s="32">
        <v>0</v>
      </c>
      <c r="U1066" s="32">
        <v>100000</v>
      </c>
      <c r="V1066" s="6">
        <f t="shared" si="269"/>
        <v>6600</v>
      </c>
    </row>
    <row r="1067" spans="1:258" ht="25.2" customHeight="1" x14ac:dyDescent="0.3">
      <c r="A1067" s="46" t="s">
        <v>1864</v>
      </c>
      <c r="B1067" s="49" t="s">
        <v>1185</v>
      </c>
      <c r="C1067" s="2">
        <f t="shared" si="267"/>
        <v>300000</v>
      </c>
      <c r="D1067" s="3">
        <f t="shared" si="268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32">
        <v>0</v>
      </c>
      <c r="N1067" s="3">
        <f t="shared" si="270"/>
        <v>0</v>
      </c>
      <c r="O1067" s="3">
        <v>0</v>
      </c>
      <c r="P1067" s="3">
        <v>0</v>
      </c>
      <c r="Q1067" s="3">
        <v>0</v>
      </c>
      <c r="R1067" s="3">
        <f t="shared" si="271"/>
        <v>0</v>
      </c>
      <c r="S1067" s="3">
        <v>0</v>
      </c>
      <c r="T1067" s="32">
        <v>0</v>
      </c>
      <c r="U1067" s="3">
        <v>300000</v>
      </c>
      <c r="V1067" s="6" t="e">
        <f t="shared" si="269"/>
        <v>#DIV/0!</v>
      </c>
    </row>
    <row r="1068" spans="1:258" ht="25.2" customHeight="1" x14ac:dyDescent="0.3">
      <c r="A1068" s="46" t="s">
        <v>1865</v>
      </c>
      <c r="B1068" s="49" t="s">
        <v>724</v>
      </c>
      <c r="C1068" s="2">
        <f t="shared" si="267"/>
        <v>1742400</v>
      </c>
      <c r="D1068" s="3">
        <f t="shared" si="268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4">
        <v>0</v>
      </c>
      <c r="L1068" s="3">
        <v>0</v>
      </c>
      <c r="M1068" s="32">
        <v>264</v>
      </c>
      <c r="N1068" s="3">
        <f t="shared" si="270"/>
        <v>1742400</v>
      </c>
      <c r="O1068" s="3">
        <v>0</v>
      </c>
      <c r="P1068" s="3">
        <v>0</v>
      </c>
      <c r="Q1068" s="3">
        <v>0</v>
      </c>
      <c r="R1068" s="3">
        <f t="shared" si="271"/>
        <v>0</v>
      </c>
      <c r="S1068" s="3">
        <v>0</v>
      </c>
      <c r="T1068" s="32">
        <v>0</v>
      </c>
      <c r="U1068" s="3">
        <v>0</v>
      </c>
      <c r="V1068" s="6">
        <f t="shared" si="269"/>
        <v>6600</v>
      </c>
    </row>
    <row r="1069" spans="1:258" ht="25.2" customHeight="1" x14ac:dyDescent="0.3">
      <c r="A1069" s="46" t="s">
        <v>1866</v>
      </c>
      <c r="B1069" s="49" t="s">
        <v>725</v>
      </c>
      <c r="C1069" s="2">
        <f t="shared" si="267"/>
        <v>1344000</v>
      </c>
      <c r="D1069" s="3">
        <f t="shared" si="268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3">
        <v>0</v>
      </c>
      <c r="L1069" s="32">
        <v>0</v>
      </c>
      <c r="M1069" s="32">
        <v>0</v>
      </c>
      <c r="N1069" s="32">
        <v>0</v>
      </c>
      <c r="O1069" s="32">
        <v>0</v>
      </c>
      <c r="P1069" s="32">
        <v>0</v>
      </c>
      <c r="Q1069" s="32">
        <v>420</v>
      </c>
      <c r="R1069" s="3">
        <f t="shared" si="271"/>
        <v>1344000</v>
      </c>
      <c r="S1069" s="32">
        <v>0</v>
      </c>
      <c r="T1069" s="32">
        <v>0</v>
      </c>
      <c r="U1069" s="32">
        <v>0</v>
      </c>
      <c r="V1069" s="6" t="e">
        <f t="shared" si="269"/>
        <v>#DIV/0!</v>
      </c>
    </row>
    <row r="1070" spans="1:258" ht="25.2" customHeight="1" x14ac:dyDescent="0.3">
      <c r="A1070" s="46" t="s">
        <v>1867</v>
      </c>
      <c r="B1070" s="49" t="s">
        <v>726</v>
      </c>
      <c r="C1070" s="2">
        <f t="shared" si="267"/>
        <v>1344000</v>
      </c>
      <c r="D1070" s="3">
        <f t="shared" si="268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4">
        <v>0</v>
      </c>
      <c r="L1070" s="3">
        <v>0</v>
      </c>
      <c r="M1070" s="32">
        <v>0</v>
      </c>
      <c r="N1070" s="32">
        <v>0</v>
      </c>
      <c r="O1070" s="3">
        <v>0</v>
      </c>
      <c r="P1070" s="3">
        <v>0</v>
      </c>
      <c r="Q1070" s="3">
        <v>420</v>
      </c>
      <c r="R1070" s="3">
        <f t="shared" si="271"/>
        <v>1344000</v>
      </c>
      <c r="S1070" s="3">
        <v>0</v>
      </c>
      <c r="T1070" s="32">
        <v>0</v>
      </c>
      <c r="U1070" s="3">
        <v>0</v>
      </c>
      <c r="V1070" s="6" t="e">
        <f t="shared" si="269"/>
        <v>#DIV/0!</v>
      </c>
      <c r="W1070" s="73"/>
      <c r="X1070" s="73"/>
      <c r="Y1070" s="73"/>
      <c r="Z1070" s="73"/>
      <c r="AA1070" s="73"/>
      <c r="AB1070" s="73"/>
      <c r="AC1070" s="73"/>
      <c r="AD1070" s="73"/>
      <c r="AE1070" s="73"/>
      <c r="AF1070" s="73"/>
      <c r="AG1070" s="73"/>
      <c r="AH1070" s="73"/>
      <c r="AI1070" s="73"/>
      <c r="AJ1070" s="73"/>
      <c r="AK1070" s="73"/>
      <c r="AL1070" s="73"/>
      <c r="AM1070" s="73"/>
      <c r="AN1070" s="73"/>
      <c r="AO1070" s="73"/>
      <c r="AP1070" s="73"/>
      <c r="AQ1070" s="73"/>
      <c r="AR1070" s="73"/>
      <c r="AS1070" s="73"/>
      <c r="AT1070" s="73"/>
      <c r="AU1070" s="73"/>
      <c r="AV1070" s="73"/>
      <c r="AW1070" s="73"/>
      <c r="AX1070" s="73"/>
      <c r="AY1070" s="73"/>
      <c r="AZ1070" s="73"/>
      <c r="BA1070" s="73"/>
      <c r="BB1070" s="73"/>
      <c r="BC1070" s="73"/>
      <c r="BD1070" s="73"/>
      <c r="BE1070" s="73"/>
      <c r="BF1070" s="73"/>
      <c r="BG1070" s="73"/>
      <c r="BH1070" s="73"/>
      <c r="BI1070" s="73"/>
      <c r="BJ1070" s="73"/>
      <c r="BK1070" s="73"/>
      <c r="BL1070" s="73"/>
      <c r="BM1070" s="73"/>
      <c r="BN1070" s="73"/>
      <c r="BO1070" s="73"/>
      <c r="BP1070" s="73"/>
      <c r="BQ1070" s="73"/>
      <c r="BR1070" s="73"/>
      <c r="BS1070" s="73"/>
      <c r="BT1070" s="73"/>
      <c r="BU1070" s="73"/>
      <c r="BV1070" s="73"/>
      <c r="BW1070" s="73"/>
      <c r="BX1070" s="73"/>
      <c r="BY1070" s="73"/>
      <c r="BZ1070" s="73"/>
      <c r="CA1070" s="73"/>
      <c r="CB1070" s="73"/>
      <c r="CC1070" s="73"/>
      <c r="CD1070" s="73"/>
      <c r="CE1070" s="73"/>
      <c r="CF1070" s="73"/>
      <c r="CG1070" s="73"/>
      <c r="CH1070" s="73"/>
      <c r="CI1070" s="73"/>
      <c r="CJ1070" s="73"/>
      <c r="CK1070" s="73"/>
      <c r="CL1070" s="73"/>
      <c r="CM1070" s="73"/>
      <c r="CN1070" s="73"/>
      <c r="CO1070" s="73"/>
      <c r="CP1070" s="73"/>
      <c r="CQ1070" s="73"/>
      <c r="CR1070" s="73"/>
      <c r="CS1070" s="73"/>
      <c r="CT1070" s="73"/>
      <c r="CU1070" s="73"/>
      <c r="CV1070" s="73"/>
      <c r="CW1070" s="73"/>
      <c r="CX1070" s="73"/>
      <c r="CY1070" s="73"/>
      <c r="CZ1070" s="73"/>
      <c r="DA1070" s="73"/>
      <c r="DB1070" s="73"/>
      <c r="DC1070" s="73"/>
      <c r="DD1070" s="73"/>
      <c r="DE1070" s="73"/>
      <c r="DF1070" s="73"/>
      <c r="DG1070" s="73"/>
      <c r="DH1070" s="73"/>
      <c r="DI1070" s="73"/>
      <c r="DJ1070" s="73"/>
      <c r="DK1070" s="73"/>
      <c r="DL1070" s="73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3"/>
      <c r="EF1070" s="73"/>
      <c r="EG1070" s="73"/>
      <c r="EH1070" s="73"/>
      <c r="EI1070" s="73"/>
      <c r="EJ1070" s="73"/>
      <c r="EK1070" s="73"/>
      <c r="EL1070" s="73"/>
      <c r="EM1070" s="73"/>
      <c r="EN1070" s="73"/>
      <c r="EO1070" s="73"/>
      <c r="EP1070" s="73"/>
      <c r="EQ1070" s="73"/>
      <c r="ER1070" s="73"/>
      <c r="ES1070" s="73"/>
      <c r="ET1070" s="73"/>
      <c r="EU1070" s="73"/>
      <c r="EV1070" s="73"/>
      <c r="EW1070" s="73"/>
      <c r="EX1070" s="73"/>
      <c r="EY1070" s="73"/>
      <c r="EZ1070" s="73"/>
      <c r="FA1070" s="73"/>
      <c r="FB1070" s="73"/>
      <c r="FC1070" s="73"/>
      <c r="FD1070" s="73"/>
      <c r="FE1070" s="73"/>
      <c r="FF1070" s="73"/>
      <c r="FG1070" s="73"/>
      <c r="FH1070" s="73"/>
      <c r="FI1070" s="73"/>
      <c r="FJ1070" s="73"/>
      <c r="FK1070" s="73"/>
      <c r="FL1070" s="73"/>
      <c r="FM1070" s="73"/>
      <c r="FN1070" s="73"/>
      <c r="FO1070" s="73"/>
      <c r="FP1070" s="73"/>
      <c r="FQ1070" s="73"/>
      <c r="FR1070" s="73"/>
      <c r="FS1070" s="73"/>
      <c r="FT1070" s="73"/>
      <c r="FU1070" s="73"/>
      <c r="FV1070" s="73"/>
      <c r="FW1070" s="73"/>
      <c r="FX1070" s="73"/>
      <c r="FY1070" s="73"/>
      <c r="FZ1070" s="73"/>
      <c r="GA1070" s="73"/>
      <c r="GB1070" s="73"/>
      <c r="GC1070" s="73"/>
      <c r="GD1070" s="73"/>
      <c r="GE1070" s="73"/>
      <c r="GF1070" s="73"/>
      <c r="GG1070" s="73"/>
      <c r="GH1070" s="73"/>
      <c r="GI1070" s="73"/>
      <c r="GJ1070" s="73"/>
      <c r="GK1070" s="73"/>
      <c r="GL1070" s="73"/>
      <c r="GM1070" s="73"/>
      <c r="GN1070" s="73"/>
      <c r="GO1070" s="73"/>
      <c r="GP1070" s="73"/>
      <c r="GQ1070" s="73"/>
      <c r="GR1070" s="73"/>
      <c r="GS1070" s="73"/>
      <c r="GT1070" s="73"/>
      <c r="GU1070" s="73"/>
      <c r="GV1070" s="73"/>
      <c r="GW1070" s="73"/>
      <c r="GX1070" s="73"/>
      <c r="GY1070" s="73"/>
      <c r="GZ1070" s="73"/>
      <c r="HA1070" s="73"/>
      <c r="HB1070" s="73"/>
      <c r="HC1070" s="73"/>
      <c r="HD1070" s="73"/>
      <c r="HE1070" s="73"/>
      <c r="HF1070" s="73"/>
      <c r="HG1070" s="73"/>
      <c r="HH1070" s="73"/>
      <c r="HI1070" s="73"/>
      <c r="HJ1070" s="73"/>
      <c r="HK1070" s="73"/>
      <c r="HL1070" s="73"/>
      <c r="HM1070" s="73"/>
      <c r="HN1070" s="73"/>
      <c r="HO1070" s="73"/>
      <c r="HP1070" s="73"/>
      <c r="HQ1070" s="73"/>
      <c r="HR1070" s="73"/>
      <c r="HS1070" s="73"/>
      <c r="HT1070" s="73"/>
      <c r="HU1070" s="73"/>
      <c r="HV1070" s="73"/>
      <c r="HW1070" s="73"/>
      <c r="HX1070" s="73"/>
      <c r="HY1070" s="73"/>
      <c r="HZ1070" s="73"/>
      <c r="IA1070" s="73"/>
      <c r="IB1070" s="73"/>
      <c r="IC1070" s="73"/>
      <c r="ID1070" s="73"/>
      <c r="IE1070" s="73"/>
      <c r="IF1070" s="73"/>
      <c r="IG1070" s="73"/>
      <c r="IH1070" s="73"/>
      <c r="II1070" s="73"/>
      <c r="IJ1070" s="73"/>
      <c r="IK1070" s="73"/>
      <c r="IL1070" s="73"/>
      <c r="IM1070" s="73"/>
      <c r="IN1070" s="73"/>
      <c r="IO1070" s="73"/>
      <c r="IP1070" s="73"/>
      <c r="IQ1070" s="73"/>
      <c r="IR1070" s="73"/>
      <c r="IS1070" s="73"/>
      <c r="IT1070" s="73"/>
      <c r="IU1070" s="73"/>
      <c r="IV1070" s="73"/>
      <c r="IW1070" s="73"/>
      <c r="IX1070" s="73"/>
    </row>
    <row r="1071" spans="1:258" ht="25.2" customHeight="1" x14ac:dyDescent="0.3">
      <c r="A1071" s="46" t="s">
        <v>1868</v>
      </c>
      <c r="B1071" s="49" t="s">
        <v>633</v>
      </c>
      <c r="C1071" s="2">
        <f t="shared" si="267"/>
        <v>1768800</v>
      </c>
      <c r="D1071" s="3">
        <f t="shared" si="268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3">
        <v>0</v>
      </c>
      <c r="L1071" s="32">
        <v>0</v>
      </c>
      <c r="M1071" s="32">
        <v>268</v>
      </c>
      <c r="N1071" s="3">
        <f t="shared" ref="N1071:N1088" si="272">M1071*6600</f>
        <v>1768800</v>
      </c>
      <c r="O1071" s="32">
        <v>0</v>
      </c>
      <c r="P1071" s="32">
        <v>0</v>
      </c>
      <c r="Q1071" s="32">
        <v>0</v>
      </c>
      <c r="R1071" s="3">
        <f t="shared" si="271"/>
        <v>0</v>
      </c>
      <c r="S1071" s="32">
        <v>0</v>
      </c>
      <c r="T1071" s="32">
        <v>0</v>
      </c>
      <c r="U1071" s="32">
        <v>0</v>
      </c>
      <c r="V1071" s="6">
        <f t="shared" si="269"/>
        <v>6600</v>
      </c>
    </row>
    <row r="1072" spans="1:258" ht="25.2" customHeight="1" x14ac:dyDescent="0.3">
      <c r="A1072" s="46" t="s">
        <v>1869</v>
      </c>
      <c r="B1072" s="49" t="s">
        <v>722</v>
      </c>
      <c r="C1072" s="2">
        <f t="shared" si="267"/>
        <v>2098800</v>
      </c>
      <c r="D1072" s="3">
        <f t="shared" si="268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3">
        <v>318</v>
      </c>
      <c r="N1072" s="3">
        <f t="shared" si="272"/>
        <v>2098800</v>
      </c>
      <c r="O1072" s="3">
        <v>0</v>
      </c>
      <c r="P1072" s="3">
        <v>0</v>
      </c>
      <c r="Q1072" s="3">
        <v>0</v>
      </c>
      <c r="R1072" s="3">
        <f t="shared" si="271"/>
        <v>0</v>
      </c>
      <c r="S1072" s="3">
        <v>0</v>
      </c>
      <c r="T1072" s="32">
        <v>0</v>
      </c>
      <c r="U1072" s="3">
        <v>0</v>
      </c>
      <c r="V1072" s="6">
        <f t="shared" si="269"/>
        <v>6600</v>
      </c>
      <c r="W1072" s="59"/>
      <c r="X1072" s="59"/>
      <c r="Y1072" s="59"/>
      <c r="Z1072" s="59"/>
      <c r="AA1072" s="59"/>
      <c r="AB1072" s="59"/>
      <c r="AC1072" s="59"/>
      <c r="AD1072" s="59"/>
      <c r="AE1072" s="59"/>
      <c r="AF1072" s="59"/>
      <c r="AG1072" s="59"/>
      <c r="AH1072" s="59"/>
      <c r="AI1072" s="59"/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  <c r="CD1072" s="59"/>
      <c r="CE1072" s="59"/>
      <c r="CF1072" s="59"/>
      <c r="CG1072" s="59"/>
      <c r="CH1072" s="59"/>
      <c r="CI1072" s="59"/>
      <c r="CJ1072" s="59"/>
      <c r="CK1072" s="59"/>
      <c r="CL1072" s="59"/>
      <c r="CM1072" s="59"/>
      <c r="CN1072" s="59"/>
      <c r="CO1072" s="59"/>
      <c r="CP1072" s="59"/>
      <c r="CQ1072" s="59"/>
      <c r="CR1072" s="59"/>
      <c r="CS1072" s="59"/>
      <c r="CT1072" s="59"/>
      <c r="CU1072" s="59"/>
      <c r="CV1072" s="59"/>
      <c r="CW1072" s="59"/>
      <c r="CX1072" s="59"/>
      <c r="CY1072" s="59"/>
      <c r="CZ1072" s="59"/>
      <c r="DA1072" s="59"/>
      <c r="DB1072" s="59"/>
      <c r="DC1072" s="59"/>
      <c r="DD1072" s="59"/>
      <c r="DE1072" s="59"/>
      <c r="DF1072" s="59"/>
      <c r="DG1072" s="59"/>
      <c r="DH1072" s="59"/>
      <c r="DI1072" s="59"/>
      <c r="DJ1072" s="59"/>
      <c r="DK1072" s="59"/>
      <c r="DL1072" s="59"/>
      <c r="DM1072" s="59"/>
      <c r="DN1072" s="59"/>
      <c r="DO1072" s="59"/>
      <c r="DP1072" s="59"/>
      <c r="DQ1072" s="59"/>
      <c r="DR1072" s="59"/>
      <c r="DS1072" s="59"/>
      <c r="DT1072" s="59"/>
      <c r="DU1072" s="59"/>
      <c r="DV1072" s="59"/>
      <c r="DW1072" s="59"/>
      <c r="DX1072" s="59"/>
      <c r="DY1072" s="59"/>
      <c r="DZ1072" s="59"/>
      <c r="EA1072" s="59"/>
      <c r="EB1072" s="59"/>
      <c r="EC1072" s="59"/>
      <c r="ED1072" s="59"/>
      <c r="EE1072" s="59"/>
      <c r="EF1072" s="59"/>
      <c r="EG1072" s="59"/>
      <c r="EH1072" s="59"/>
      <c r="EI1072" s="59"/>
      <c r="EJ1072" s="59"/>
      <c r="EK1072" s="59"/>
      <c r="EL1072" s="59"/>
      <c r="EM1072" s="59"/>
      <c r="EN1072" s="59"/>
      <c r="EO1072" s="59"/>
      <c r="EP1072" s="59"/>
      <c r="EQ1072" s="59"/>
      <c r="ER1072" s="59"/>
      <c r="ES1072" s="59"/>
      <c r="ET1072" s="59"/>
      <c r="EU1072" s="59"/>
      <c r="EV1072" s="59"/>
      <c r="EW1072" s="59"/>
      <c r="EX1072" s="59"/>
      <c r="EY1072" s="59"/>
      <c r="EZ1072" s="59"/>
      <c r="FA1072" s="59"/>
      <c r="FB1072" s="59"/>
      <c r="FC1072" s="59"/>
      <c r="FD1072" s="59"/>
      <c r="FE1072" s="59"/>
      <c r="FF1072" s="59"/>
      <c r="FG1072" s="59"/>
      <c r="FH1072" s="59"/>
      <c r="FI1072" s="59"/>
      <c r="FJ1072" s="59"/>
      <c r="FK1072" s="59"/>
      <c r="FL1072" s="59"/>
      <c r="FM1072" s="59"/>
      <c r="FN1072" s="59"/>
      <c r="FO1072" s="59"/>
      <c r="FP1072" s="59"/>
      <c r="FQ1072" s="59"/>
      <c r="FR1072" s="59"/>
      <c r="FS1072" s="59"/>
      <c r="FT1072" s="59"/>
      <c r="FU1072" s="59"/>
      <c r="FV1072" s="59"/>
      <c r="FW1072" s="59"/>
      <c r="FX1072" s="59"/>
      <c r="FY1072" s="59"/>
      <c r="FZ1072" s="59"/>
      <c r="GA1072" s="59"/>
      <c r="GB1072" s="59"/>
      <c r="GC1072" s="59"/>
      <c r="GD1072" s="59"/>
      <c r="GE1072" s="59"/>
      <c r="GF1072" s="59"/>
      <c r="GG1072" s="59"/>
      <c r="GH1072" s="59"/>
      <c r="GI1072" s="59"/>
      <c r="GJ1072" s="59"/>
      <c r="GK1072" s="59"/>
      <c r="GL1072" s="59"/>
      <c r="GM1072" s="59"/>
      <c r="GN1072" s="59"/>
      <c r="GO1072" s="59"/>
      <c r="GP1072" s="59"/>
      <c r="GQ1072" s="59"/>
      <c r="GR1072" s="59"/>
      <c r="GS1072" s="59"/>
      <c r="GT1072" s="59"/>
      <c r="GU1072" s="59"/>
      <c r="GV1072" s="59"/>
      <c r="GW1072" s="59"/>
      <c r="GX1072" s="59"/>
      <c r="GY1072" s="59"/>
      <c r="GZ1072" s="59"/>
      <c r="HA1072" s="59"/>
      <c r="HB1072" s="59"/>
      <c r="HC1072" s="59"/>
      <c r="HD1072" s="59"/>
      <c r="HE1072" s="59"/>
      <c r="HF1072" s="59"/>
      <c r="HG1072" s="59"/>
      <c r="HH1072" s="59"/>
      <c r="HI1072" s="59"/>
      <c r="HJ1072" s="59"/>
      <c r="HK1072" s="59"/>
      <c r="HL1072" s="59"/>
      <c r="HM1072" s="59"/>
      <c r="HN1072" s="59"/>
      <c r="HO1072" s="59"/>
      <c r="HP1072" s="59"/>
      <c r="HQ1072" s="59"/>
      <c r="HR1072" s="59"/>
      <c r="HS1072" s="59"/>
      <c r="HT1072" s="59"/>
      <c r="HU1072" s="59"/>
      <c r="HV1072" s="59"/>
      <c r="HW1072" s="59"/>
      <c r="HX1072" s="59"/>
      <c r="HY1072" s="59"/>
      <c r="HZ1072" s="59"/>
      <c r="IA1072" s="59"/>
      <c r="IB1072" s="59"/>
      <c r="IC1072" s="59"/>
      <c r="ID1072" s="59"/>
      <c r="IE1072" s="59"/>
      <c r="IF1072" s="59"/>
      <c r="IG1072" s="59"/>
      <c r="IH1072" s="59"/>
      <c r="II1072" s="59"/>
      <c r="IJ1072" s="59"/>
      <c r="IK1072" s="59"/>
      <c r="IL1072" s="59"/>
      <c r="IM1072" s="59"/>
      <c r="IN1072" s="59"/>
      <c r="IO1072" s="59"/>
      <c r="IP1072" s="59"/>
      <c r="IQ1072" s="59"/>
      <c r="IR1072" s="59"/>
      <c r="IS1072" s="59"/>
      <c r="IT1072" s="59"/>
      <c r="IU1072" s="59"/>
      <c r="IV1072" s="59"/>
      <c r="IW1072" s="59"/>
      <c r="IX1072" s="59"/>
    </row>
    <row r="1073" spans="1:258" ht="25.2" customHeight="1" x14ac:dyDescent="0.3">
      <c r="A1073" s="46" t="s">
        <v>1870</v>
      </c>
      <c r="B1073" s="49" t="s">
        <v>723</v>
      </c>
      <c r="C1073" s="2">
        <f t="shared" si="267"/>
        <v>2098800</v>
      </c>
      <c r="D1073" s="3">
        <f t="shared" si="268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32">
        <v>318</v>
      </c>
      <c r="N1073" s="3">
        <f t="shared" si="272"/>
        <v>2098800</v>
      </c>
      <c r="O1073" s="3">
        <v>0</v>
      </c>
      <c r="P1073" s="3">
        <v>0</v>
      </c>
      <c r="Q1073" s="3">
        <v>0</v>
      </c>
      <c r="R1073" s="3">
        <f t="shared" si="271"/>
        <v>0</v>
      </c>
      <c r="S1073" s="3">
        <v>0</v>
      </c>
      <c r="T1073" s="32">
        <v>0</v>
      </c>
      <c r="U1073" s="3">
        <v>0</v>
      </c>
      <c r="V1073" s="6">
        <f t="shared" si="269"/>
        <v>6600</v>
      </c>
    </row>
    <row r="1074" spans="1:258" ht="25.2" customHeight="1" x14ac:dyDescent="0.3">
      <c r="A1074" s="46" t="s">
        <v>1871</v>
      </c>
      <c r="B1074" s="49" t="s">
        <v>637</v>
      </c>
      <c r="C1074" s="2">
        <f t="shared" si="267"/>
        <v>1766820</v>
      </c>
      <c r="D1074" s="3">
        <f t="shared" si="268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3">
        <v>0</v>
      </c>
      <c r="L1074" s="32">
        <v>0</v>
      </c>
      <c r="M1074" s="32">
        <v>267.7</v>
      </c>
      <c r="N1074" s="3">
        <f t="shared" si="272"/>
        <v>1766820</v>
      </c>
      <c r="O1074" s="32">
        <v>0</v>
      </c>
      <c r="P1074" s="32">
        <v>0</v>
      </c>
      <c r="Q1074" s="32">
        <v>0</v>
      </c>
      <c r="R1074" s="3">
        <f t="shared" si="271"/>
        <v>0</v>
      </c>
      <c r="S1074" s="32">
        <v>0</v>
      </c>
      <c r="T1074" s="32">
        <v>0</v>
      </c>
      <c r="U1074" s="32">
        <v>0</v>
      </c>
      <c r="V1074" s="6">
        <f t="shared" si="269"/>
        <v>6600</v>
      </c>
    </row>
    <row r="1075" spans="1:258" ht="25.2" customHeight="1" x14ac:dyDescent="0.3">
      <c r="A1075" s="46" t="s">
        <v>1982</v>
      </c>
      <c r="B1075" s="49" t="s">
        <v>638</v>
      </c>
      <c r="C1075" s="2">
        <f t="shared" si="267"/>
        <v>1780020</v>
      </c>
      <c r="D1075" s="3">
        <f t="shared" si="268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3">
        <v>0</v>
      </c>
      <c r="L1075" s="32">
        <v>0</v>
      </c>
      <c r="M1075" s="32">
        <v>269.7</v>
      </c>
      <c r="N1075" s="3">
        <f t="shared" si="272"/>
        <v>1780020</v>
      </c>
      <c r="O1075" s="32">
        <v>0</v>
      </c>
      <c r="P1075" s="32">
        <v>0</v>
      </c>
      <c r="Q1075" s="32">
        <v>0</v>
      </c>
      <c r="R1075" s="3">
        <f t="shared" si="271"/>
        <v>0</v>
      </c>
      <c r="S1075" s="32">
        <v>0</v>
      </c>
      <c r="T1075" s="32">
        <v>0</v>
      </c>
      <c r="U1075" s="32">
        <v>0</v>
      </c>
      <c r="V1075" s="6">
        <f t="shared" si="269"/>
        <v>6600</v>
      </c>
    </row>
    <row r="1076" spans="1:258" ht="25.2" customHeight="1" x14ac:dyDescent="0.3">
      <c r="A1076" s="46" t="s">
        <v>1872</v>
      </c>
      <c r="B1076" s="49" t="s">
        <v>639</v>
      </c>
      <c r="C1076" s="2">
        <f t="shared" si="267"/>
        <v>1786620</v>
      </c>
      <c r="D1076" s="3">
        <f t="shared" si="268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3">
        <v>0</v>
      </c>
      <c r="L1076" s="32">
        <v>0</v>
      </c>
      <c r="M1076" s="32">
        <v>270.7</v>
      </c>
      <c r="N1076" s="3">
        <f t="shared" si="272"/>
        <v>1786620</v>
      </c>
      <c r="O1076" s="32">
        <v>0</v>
      </c>
      <c r="P1076" s="32">
        <v>0</v>
      </c>
      <c r="Q1076" s="32">
        <v>0</v>
      </c>
      <c r="R1076" s="3">
        <f t="shared" si="271"/>
        <v>0</v>
      </c>
      <c r="S1076" s="32">
        <v>0</v>
      </c>
      <c r="T1076" s="32">
        <v>0</v>
      </c>
      <c r="U1076" s="32">
        <v>0</v>
      </c>
      <c r="V1076" s="6">
        <f t="shared" si="269"/>
        <v>6600</v>
      </c>
    </row>
    <row r="1077" spans="1:258" ht="25.2" customHeight="1" x14ac:dyDescent="0.3">
      <c r="A1077" s="46" t="s">
        <v>1873</v>
      </c>
      <c r="B1077" s="49" t="s">
        <v>451</v>
      </c>
      <c r="C1077" s="2">
        <f t="shared" si="267"/>
        <v>1729200</v>
      </c>
      <c r="D1077" s="3">
        <f t="shared" si="268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3">
        <v>262</v>
      </c>
      <c r="N1077" s="3">
        <f t="shared" si="272"/>
        <v>1729200</v>
      </c>
      <c r="O1077" s="3">
        <v>0</v>
      </c>
      <c r="P1077" s="3">
        <v>0</v>
      </c>
      <c r="Q1077" s="3">
        <v>0</v>
      </c>
      <c r="R1077" s="3">
        <f>Q1077*3000</f>
        <v>0</v>
      </c>
      <c r="S1077" s="3">
        <v>0</v>
      </c>
      <c r="T1077" s="32">
        <v>0</v>
      </c>
      <c r="U1077" s="3">
        <v>0</v>
      </c>
      <c r="V1077" s="6">
        <f t="shared" si="269"/>
        <v>6600</v>
      </c>
    </row>
    <row r="1078" spans="1:258" ht="25.2" customHeight="1" x14ac:dyDescent="0.3">
      <c r="A1078" s="46" t="s">
        <v>1874</v>
      </c>
      <c r="B1078" s="49" t="s">
        <v>727</v>
      </c>
      <c r="C1078" s="2">
        <f t="shared" si="267"/>
        <v>1787280</v>
      </c>
      <c r="D1078" s="3">
        <f t="shared" si="268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32">
        <v>270.8</v>
      </c>
      <c r="N1078" s="3">
        <f t="shared" si="272"/>
        <v>1787280</v>
      </c>
      <c r="O1078" s="3">
        <v>0</v>
      </c>
      <c r="P1078" s="3">
        <v>0</v>
      </c>
      <c r="Q1078" s="3">
        <v>0</v>
      </c>
      <c r="R1078" s="3">
        <f t="shared" ref="R1078:R1102" si="273">Q1078*3200</f>
        <v>0</v>
      </c>
      <c r="S1078" s="3">
        <v>0</v>
      </c>
      <c r="T1078" s="32">
        <v>0</v>
      </c>
      <c r="U1078" s="3">
        <v>0</v>
      </c>
      <c r="V1078" s="6">
        <f t="shared" si="269"/>
        <v>6600</v>
      </c>
      <c r="W1078" s="73"/>
      <c r="X1078" s="73"/>
      <c r="Y1078" s="73"/>
      <c r="Z1078" s="73"/>
      <c r="AA1078" s="73"/>
      <c r="AB1078" s="73"/>
      <c r="AC1078" s="73"/>
      <c r="AD1078" s="73"/>
      <c r="AE1078" s="73"/>
      <c r="AF1078" s="73"/>
      <c r="AG1078" s="73"/>
      <c r="AH1078" s="73"/>
      <c r="AI1078" s="73"/>
      <c r="AJ1078" s="73"/>
      <c r="AK1078" s="73"/>
      <c r="AL1078" s="73"/>
      <c r="AM1078" s="73"/>
      <c r="AN1078" s="73"/>
      <c r="AO1078" s="73"/>
      <c r="AP1078" s="73"/>
      <c r="AQ1078" s="73"/>
      <c r="AR1078" s="73"/>
      <c r="AS1078" s="73"/>
      <c r="AT1078" s="73"/>
      <c r="AU1078" s="73"/>
      <c r="AV1078" s="73"/>
      <c r="AW1078" s="73"/>
      <c r="AX1078" s="73"/>
      <c r="AY1078" s="73"/>
      <c r="AZ1078" s="73"/>
      <c r="BA1078" s="73"/>
      <c r="BB1078" s="73"/>
      <c r="BC1078" s="73"/>
      <c r="BD1078" s="73"/>
      <c r="BE1078" s="73"/>
      <c r="BF1078" s="73"/>
      <c r="BG1078" s="73"/>
      <c r="BH1078" s="73"/>
      <c r="BI1078" s="73"/>
      <c r="BJ1078" s="73"/>
      <c r="BK1078" s="73"/>
      <c r="BL1078" s="73"/>
      <c r="BM1078" s="73"/>
      <c r="BN1078" s="73"/>
      <c r="BO1078" s="73"/>
      <c r="BP1078" s="73"/>
      <c r="BQ1078" s="73"/>
      <c r="BR1078" s="73"/>
      <c r="BS1078" s="73"/>
      <c r="BT1078" s="73"/>
      <c r="BU1078" s="73"/>
      <c r="BV1078" s="73"/>
      <c r="BW1078" s="73"/>
      <c r="BX1078" s="73"/>
      <c r="BY1078" s="73"/>
      <c r="BZ1078" s="73"/>
      <c r="CA1078" s="73"/>
      <c r="CB1078" s="73"/>
      <c r="CC1078" s="73"/>
      <c r="CD1078" s="73"/>
      <c r="CE1078" s="73"/>
      <c r="CF1078" s="73"/>
      <c r="CG1078" s="73"/>
      <c r="CH1078" s="73"/>
      <c r="CI1078" s="73"/>
      <c r="CJ1078" s="73"/>
      <c r="CK1078" s="73"/>
      <c r="CL1078" s="73"/>
      <c r="CM1078" s="73"/>
      <c r="CN1078" s="73"/>
      <c r="CO1078" s="73"/>
      <c r="CP1078" s="73"/>
      <c r="CQ1078" s="73"/>
      <c r="CR1078" s="73"/>
      <c r="CS1078" s="73"/>
      <c r="CT1078" s="73"/>
      <c r="CU1078" s="73"/>
      <c r="CV1078" s="73"/>
      <c r="CW1078" s="73"/>
      <c r="CX1078" s="73"/>
      <c r="CY1078" s="73"/>
      <c r="CZ1078" s="73"/>
      <c r="DA1078" s="73"/>
      <c r="DB1078" s="73"/>
      <c r="DC1078" s="73"/>
      <c r="DD1078" s="73"/>
      <c r="DE1078" s="73"/>
      <c r="DF1078" s="73"/>
      <c r="DG1078" s="73"/>
      <c r="DH1078" s="73"/>
      <c r="DI1078" s="73"/>
      <c r="DJ1078" s="73"/>
      <c r="DK1078" s="73"/>
      <c r="DL1078" s="73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3"/>
      <c r="EF1078" s="73"/>
      <c r="EG1078" s="73"/>
      <c r="EH1078" s="73"/>
      <c r="EI1078" s="73"/>
      <c r="EJ1078" s="73"/>
      <c r="EK1078" s="73"/>
      <c r="EL1078" s="73"/>
      <c r="EM1078" s="73"/>
      <c r="EN1078" s="73"/>
      <c r="EO1078" s="73"/>
      <c r="EP1078" s="73"/>
      <c r="EQ1078" s="73"/>
      <c r="ER1078" s="73"/>
      <c r="ES1078" s="73"/>
      <c r="ET1078" s="73"/>
      <c r="EU1078" s="73"/>
      <c r="EV1078" s="73"/>
      <c r="EW1078" s="73"/>
      <c r="EX1078" s="73"/>
      <c r="EY1078" s="73"/>
      <c r="EZ1078" s="73"/>
      <c r="FA1078" s="73"/>
      <c r="FB1078" s="73"/>
      <c r="FC1078" s="73"/>
      <c r="FD1078" s="73"/>
      <c r="FE1078" s="73"/>
      <c r="FF1078" s="73"/>
      <c r="FG1078" s="73"/>
      <c r="FH1078" s="73"/>
      <c r="FI1078" s="73"/>
      <c r="FJ1078" s="73"/>
      <c r="FK1078" s="73"/>
      <c r="FL1078" s="73"/>
      <c r="FM1078" s="73"/>
      <c r="FN1078" s="73"/>
      <c r="FO1078" s="73"/>
      <c r="FP1078" s="73"/>
      <c r="FQ1078" s="73"/>
      <c r="FR1078" s="73"/>
      <c r="FS1078" s="73"/>
      <c r="FT1078" s="73"/>
      <c r="FU1078" s="73"/>
      <c r="FV1078" s="73"/>
      <c r="FW1078" s="73"/>
      <c r="FX1078" s="73"/>
      <c r="FY1078" s="73"/>
      <c r="FZ1078" s="73"/>
      <c r="GA1078" s="73"/>
      <c r="GB1078" s="73"/>
      <c r="GC1078" s="73"/>
      <c r="GD1078" s="73"/>
      <c r="GE1078" s="73"/>
      <c r="GF1078" s="73"/>
      <c r="GG1078" s="73"/>
      <c r="GH1078" s="73"/>
      <c r="GI1078" s="73"/>
      <c r="GJ1078" s="73"/>
      <c r="GK1078" s="73"/>
      <c r="GL1078" s="73"/>
      <c r="GM1078" s="73"/>
      <c r="GN1078" s="73"/>
      <c r="GO1078" s="73"/>
      <c r="GP1078" s="73"/>
      <c r="GQ1078" s="73"/>
      <c r="GR1078" s="73"/>
      <c r="GS1078" s="73"/>
      <c r="GT1078" s="73"/>
      <c r="GU1078" s="73"/>
      <c r="GV1078" s="73"/>
      <c r="GW1078" s="73"/>
      <c r="GX1078" s="73"/>
      <c r="GY1078" s="73"/>
      <c r="GZ1078" s="73"/>
      <c r="HA1078" s="73"/>
      <c r="HB1078" s="73"/>
      <c r="HC1078" s="73"/>
      <c r="HD1078" s="73"/>
      <c r="HE1078" s="73"/>
      <c r="HF1078" s="73"/>
      <c r="HG1078" s="73"/>
      <c r="HH1078" s="73"/>
      <c r="HI1078" s="73"/>
      <c r="HJ1078" s="73"/>
      <c r="HK1078" s="73"/>
      <c r="HL1078" s="73"/>
      <c r="HM1078" s="73"/>
      <c r="HN1078" s="73"/>
      <c r="HO1078" s="73"/>
      <c r="HP1078" s="73"/>
      <c r="HQ1078" s="73"/>
      <c r="HR1078" s="73"/>
      <c r="HS1078" s="73"/>
      <c r="HT1078" s="73"/>
      <c r="HU1078" s="73"/>
      <c r="HV1078" s="73"/>
      <c r="HW1078" s="73"/>
      <c r="HX1078" s="73"/>
      <c r="HY1078" s="73"/>
      <c r="HZ1078" s="73"/>
      <c r="IA1078" s="73"/>
      <c r="IB1078" s="73"/>
      <c r="IC1078" s="73"/>
      <c r="ID1078" s="73"/>
      <c r="IE1078" s="73"/>
      <c r="IF1078" s="73"/>
      <c r="IG1078" s="73"/>
      <c r="IH1078" s="73"/>
      <c r="II1078" s="73"/>
      <c r="IJ1078" s="73"/>
      <c r="IK1078" s="73"/>
      <c r="IL1078" s="73"/>
      <c r="IM1078" s="73"/>
      <c r="IN1078" s="73"/>
      <c r="IO1078" s="73"/>
      <c r="IP1078" s="73"/>
      <c r="IQ1078" s="73"/>
      <c r="IR1078" s="73"/>
      <c r="IS1078" s="73"/>
      <c r="IT1078" s="73"/>
      <c r="IU1078" s="73"/>
      <c r="IV1078" s="73"/>
      <c r="IW1078" s="73"/>
      <c r="IX1078" s="73"/>
    </row>
    <row r="1079" spans="1:258" ht="25.2" customHeight="1" x14ac:dyDescent="0.3">
      <c r="A1079" s="46" t="s">
        <v>1983</v>
      </c>
      <c r="B1079" s="49" t="s">
        <v>728</v>
      </c>
      <c r="C1079" s="2">
        <f t="shared" si="267"/>
        <v>1749000</v>
      </c>
      <c r="D1079" s="3">
        <f t="shared" si="268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32">
        <v>265</v>
      </c>
      <c r="N1079" s="3">
        <f t="shared" si="272"/>
        <v>1749000</v>
      </c>
      <c r="O1079" s="3">
        <v>0</v>
      </c>
      <c r="P1079" s="3">
        <v>0</v>
      </c>
      <c r="Q1079" s="3">
        <v>0</v>
      </c>
      <c r="R1079" s="3">
        <f t="shared" si="273"/>
        <v>0</v>
      </c>
      <c r="S1079" s="3">
        <v>0</v>
      </c>
      <c r="T1079" s="32">
        <v>0</v>
      </c>
      <c r="U1079" s="3">
        <v>0</v>
      </c>
      <c r="V1079" s="6">
        <f t="shared" si="269"/>
        <v>6600</v>
      </c>
      <c r="W1079" s="73"/>
      <c r="X1079" s="73"/>
      <c r="Y1079" s="73"/>
      <c r="Z1079" s="73"/>
      <c r="AA1079" s="73"/>
      <c r="AB1079" s="73"/>
      <c r="AC1079" s="73"/>
      <c r="AD1079" s="73"/>
      <c r="AE1079" s="73"/>
      <c r="AF1079" s="73"/>
      <c r="AG1079" s="73"/>
      <c r="AH1079" s="73"/>
      <c r="AI1079" s="73"/>
      <c r="AJ1079" s="73"/>
      <c r="AK1079" s="73"/>
      <c r="AL1079" s="73"/>
      <c r="AM1079" s="73"/>
      <c r="AN1079" s="73"/>
      <c r="AO1079" s="73"/>
      <c r="AP1079" s="73"/>
      <c r="AQ1079" s="73"/>
      <c r="AR1079" s="73"/>
      <c r="AS1079" s="73"/>
      <c r="AT1079" s="73"/>
      <c r="AU1079" s="73"/>
      <c r="AV1079" s="73"/>
      <c r="AW1079" s="73"/>
      <c r="AX1079" s="73"/>
      <c r="AY1079" s="73"/>
      <c r="AZ1079" s="73"/>
      <c r="BA1079" s="73"/>
      <c r="BB1079" s="73"/>
      <c r="BC1079" s="73"/>
      <c r="BD1079" s="73"/>
      <c r="BE1079" s="73"/>
      <c r="BF1079" s="73"/>
      <c r="BG1079" s="73"/>
      <c r="BH1079" s="73"/>
      <c r="BI1079" s="73"/>
      <c r="BJ1079" s="73"/>
      <c r="BK1079" s="73"/>
      <c r="BL1079" s="73"/>
      <c r="BM1079" s="73"/>
      <c r="BN1079" s="73"/>
      <c r="BO1079" s="73"/>
      <c r="BP1079" s="73"/>
      <c r="BQ1079" s="73"/>
      <c r="BR1079" s="73"/>
      <c r="BS1079" s="73"/>
      <c r="BT1079" s="73"/>
      <c r="BU1079" s="73"/>
      <c r="BV1079" s="73"/>
      <c r="BW1079" s="73"/>
      <c r="BX1079" s="73"/>
      <c r="BY1079" s="73"/>
      <c r="BZ1079" s="73"/>
      <c r="CA1079" s="73"/>
      <c r="CB1079" s="73"/>
      <c r="CC1079" s="73"/>
      <c r="CD1079" s="73"/>
      <c r="CE1079" s="73"/>
      <c r="CF1079" s="73"/>
      <c r="CG1079" s="73"/>
      <c r="CH1079" s="73"/>
      <c r="CI1079" s="73"/>
      <c r="CJ1079" s="73"/>
      <c r="CK1079" s="73"/>
      <c r="CL1079" s="73"/>
      <c r="CM1079" s="73"/>
      <c r="CN1079" s="73"/>
      <c r="CO1079" s="73"/>
      <c r="CP1079" s="73"/>
      <c r="CQ1079" s="73"/>
      <c r="CR1079" s="73"/>
      <c r="CS1079" s="73"/>
      <c r="CT1079" s="73"/>
      <c r="CU1079" s="73"/>
      <c r="CV1079" s="73"/>
      <c r="CW1079" s="73"/>
      <c r="CX1079" s="73"/>
      <c r="CY1079" s="73"/>
      <c r="CZ1079" s="73"/>
      <c r="DA1079" s="73"/>
      <c r="DB1079" s="73"/>
      <c r="DC1079" s="73"/>
      <c r="DD1079" s="73"/>
      <c r="DE1079" s="73"/>
      <c r="DF1079" s="73"/>
      <c r="DG1079" s="73"/>
      <c r="DH1079" s="73"/>
      <c r="DI1079" s="73"/>
      <c r="DJ1079" s="73"/>
      <c r="DK1079" s="73"/>
      <c r="DL1079" s="73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3"/>
      <c r="EF1079" s="73"/>
      <c r="EG1079" s="73"/>
      <c r="EH1079" s="73"/>
      <c r="EI1079" s="73"/>
      <c r="EJ1079" s="73"/>
      <c r="EK1079" s="73"/>
      <c r="EL1079" s="73"/>
      <c r="EM1079" s="73"/>
      <c r="EN1079" s="73"/>
      <c r="EO1079" s="73"/>
      <c r="EP1079" s="73"/>
      <c r="EQ1079" s="73"/>
      <c r="ER1079" s="73"/>
      <c r="ES1079" s="73"/>
      <c r="ET1079" s="73"/>
      <c r="EU1079" s="73"/>
      <c r="EV1079" s="73"/>
      <c r="EW1079" s="73"/>
      <c r="EX1079" s="73"/>
      <c r="EY1079" s="73"/>
      <c r="EZ1079" s="73"/>
      <c r="FA1079" s="73"/>
      <c r="FB1079" s="73"/>
      <c r="FC1079" s="73"/>
      <c r="FD1079" s="73"/>
      <c r="FE1079" s="73"/>
      <c r="FF1079" s="73"/>
      <c r="FG1079" s="73"/>
      <c r="FH1079" s="73"/>
      <c r="FI1079" s="73"/>
      <c r="FJ1079" s="73"/>
      <c r="FK1079" s="73"/>
      <c r="FL1079" s="73"/>
      <c r="FM1079" s="73"/>
      <c r="FN1079" s="73"/>
      <c r="FO1079" s="73"/>
      <c r="FP1079" s="73"/>
      <c r="FQ1079" s="73"/>
      <c r="FR1079" s="73"/>
      <c r="FS1079" s="73"/>
      <c r="FT1079" s="73"/>
      <c r="FU1079" s="73"/>
      <c r="FV1079" s="73"/>
      <c r="FW1079" s="73"/>
      <c r="FX1079" s="73"/>
      <c r="FY1079" s="73"/>
      <c r="FZ1079" s="73"/>
      <c r="GA1079" s="73"/>
      <c r="GB1079" s="73"/>
      <c r="GC1079" s="73"/>
      <c r="GD1079" s="73"/>
      <c r="GE1079" s="73"/>
      <c r="GF1079" s="73"/>
      <c r="GG1079" s="73"/>
      <c r="GH1079" s="73"/>
      <c r="GI1079" s="73"/>
      <c r="GJ1079" s="73"/>
      <c r="GK1079" s="73"/>
      <c r="GL1079" s="73"/>
      <c r="GM1079" s="73"/>
      <c r="GN1079" s="73"/>
      <c r="GO1079" s="73"/>
      <c r="GP1079" s="73"/>
      <c r="GQ1079" s="73"/>
      <c r="GR1079" s="73"/>
      <c r="GS1079" s="73"/>
      <c r="GT1079" s="73"/>
      <c r="GU1079" s="73"/>
      <c r="GV1079" s="73"/>
      <c r="GW1079" s="73"/>
      <c r="GX1079" s="73"/>
      <c r="GY1079" s="73"/>
      <c r="GZ1079" s="73"/>
      <c r="HA1079" s="73"/>
      <c r="HB1079" s="73"/>
      <c r="HC1079" s="73"/>
      <c r="HD1079" s="73"/>
      <c r="HE1079" s="73"/>
      <c r="HF1079" s="73"/>
      <c r="HG1079" s="73"/>
      <c r="HH1079" s="73"/>
      <c r="HI1079" s="73"/>
      <c r="HJ1079" s="73"/>
      <c r="HK1079" s="73"/>
      <c r="HL1079" s="73"/>
      <c r="HM1079" s="73"/>
      <c r="HN1079" s="73"/>
      <c r="HO1079" s="73"/>
      <c r="HP1079" s="73"/>
      <c r="HQ1079" s="73"/>
      <c r="HR1079" s="73"/>
      <c r="HS1079" s="73"/>
      <c r="HT1079" s="73"/>
      <c r="HU1079" s="73"/>
      <c r="HV1079" s="73"/>
      <c r="HW1079" s="73"/>
      <c r="HX1079" s="73"/>
      <c r="HY1079" s="73"/>
      <c r="HZ1079" s="73"/>
      <c r="IA1079" s="73"/>
      <c r="IB1079" s="73"/>
      <c r="IC1079" s="73"/>
      <c r="ID1079" s="73"/>
      <c r="IE1079" s="73"/>
      <c r="IF1079" s="73"/>
      <c r="IG1079" s="73"/>
      <c r="IH1079" s="73"/>
      <c r="II1079" s="73"/>
      <c r="IJ1079" s="73"/>
      <c r="IK1079" s="73"/>
      <c r="IL1079" s="73"/>
      <c r="IM1079" s="73"/>
      <c r="IN1079" s="73"/>
      <c r="IO1079" s="73"/>
      <c r="IP1079" s="73"/>
      <c r="IQ1079" s="73"/>
      <c r="IR1079" s="73"/>
      <c r="IS1079" s="73"/>
      <c r="IT1079" s="73"/>
      <c r="IU1079" s="73"/>
      <c r="IV1079" s="73"/>
      <c r="IW1079" s="73"/>
      <c r="IX1079" s="73"/>
    </row>
    <row r="1080" spans="1:258" ht="25.2" customHeight="1" x14ac:dyDescent="0.3">
      <c r="A1080" s="46" t="s">
        <v>1875</v>
      </c>
      <c r="B1080" s="49" t="s">
        <v>641</v>
      </c>
      <c r="C1080" s="2">
        <f t="shared" si="267"/>
        <v>1708739.9999999998</v>
      </c>
      <c r="D1080" s="3">
        <f t="shared" si="268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2">
        <v>258.89999999999998</v>
      </c>
      <c r="N1080" s="3">
        <f t="shared" si="272"/>
        <v>1708739.9999999998</v>
      </c>
      <c r="O1080" s="3">
        <v>0</v>
      </c>
      <c r="P1080" s="3">
        <v>0</v>
      </c>
      <c r="Q1080" s="3">
        <v>0</v>
      </c>
      <c r="R1080" s="3">
        <f t="shared" si="273"/>
        <v>0</v>
      </c>
      <c r="S1080" s="3">
        <v>0</v>
      </c>
      <c r="T1080" s="32">
        <v>0</v>
      </c>
      <c r="U1080" s="3">
        <v>0</v>
      </c>
      <c r="V1080" s="6">
        <f t="shared" si="269"/>
        <v>6600</v>
      </c>
    </row>
    <row r="1081" spans="1:258" ht="25.2" customHeight="1" x14ac:dyDescent="0.3">
      <c r="A1081" s="46" t="s">
        <v>1876</v>
      </c>
      <c r="B1081" s="49" t="s">
        <v>642</v>
      </c>
      <c r="C1081" s="2">
        <f t="shared" si="267"/>
        <v>1698839.9999999998</v>
      </c>
      <c r="D1081" s="3">
        <f t="shared" si="268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3">
        <v>257.39999999999998</v>
      </c>
      <c r="N1081" s="3">
        <f t="shared" si="272"/>
        <v>1698839.9999999998</v>
      </c>
      <c r="O1081" s="3">
        <v>0</v>
      </c>
      <c r="P1081" s="3">
        <v>0</v>
      </c>
      <c r="Q1081" s="3">
        <v>0</v>
      </c>
      <c r="R1081" s="3">
        <f t="shared" si="273"/>
        <v>0</v>
      </c>
      <c r="S1081" s="3">
        <v>0</v>
      </c>
      <c r="T1081" s="32">
        <v>0</v>
      </c>
      <c r="U1081" s="3">
        <v>0</v>
      </c>
      <c r="V1081" s="6">
        <f t="shared" si="269"/>
        <v>6600</v>
      </c>
      <c r="W1081" s="70"/>
      <c r="X1081" s="70"/>
      <c r="Y1081" s="70"/>
      <c r="Z1081" s="70"/>
      <c r="AA1081" s="70"/>
      <c r="AB1081" s="70"/>
      <c r="AC1081" s="70"/>
      <c r="AD1081" s="70"/>
      <c r="AE1081" s="70"/>
      <c r="AF1081" s="70"/>
      <c r="AG1081" s="70"/>
      <c r="AH1081" s="70"/>
      <c r="AI1081" s="70"/>
      <c r="AJ1081" s="70"/>
      <c r="AK1081" s="70"/>
      <c r="AL1081" s="70"/>
      <c r="AM1081" s="70"/>
      <c r="AN1081" s="70"/>
      <c r="AO1081" s="70"/>
      <c r="AP1081" s="70"/>
      <c r="AQ1081" s="70"/>
      <c r="AR1081" s="70"/>
      <c r="AS1081" s="70"/>
      <c r="AT1081" s="70"/>
      <c r="AU1081" s="70"/>
      <c r="AV1081" s="70"/>
      <c r="AW1081" s="70"/>
      <c r="AX1081" s="70"/>
      <c r="AY1081" s="70"/>
      <c r="AZ1081" s="70"/>
      <c r="BA1081" s="70"/>
      <c r="BB1081" s="70"/>
      <c r="BC1081" s="70"/>
      <c r="BD1081" s="70"/>
      <c r="BE1081" s="70"/>
      <c r="BF1081" s="70"/>
      <c r="BG1081" s="70"/>
      <c r="BH1081" s="70"/>
      <c r="BI1081" s="70"/>
      <c r="BJ1081" s="70"/>
      <c r="BK1081" s="70"/>
      <c r="BL1081" s="70"/>
      <c r="BM1081" s="70"/>
      <c r="BN1081" s="70"/>
      <c r="BO1081" s="70"/>
      <c r="BP1081" s="70"/>
      <c r="BQ1081" s="70"/>
      <c r="BR1081" s="70"/>
      <c r="BS1081" s="70"/>
      <c r="BT1081" s="70"/>
      <c r="BU1081" s="70"/>
      <c r="BV1081" s="70"/>
      <c r="BW1081" s="70"/>
      <c r="BX1081" s="70"/>
      <c r="BY1081" s="70"/>
      <c r="BZ1081" s="70"/>
      <c r="CA1081" s="70"/>
      <c r="CB1081" s="70"/>
      <c r="CC1081" s="70"/>
      <c r="CD1081" s="70"/>
      <c r="CE1081" s="70"/>
      <c r="CF1081" s="70"/>
      <c r="CG1081" s="70"/>
      <c r="CH1081" s="70"/>
      <c r="CI1081" s="70"/>
      <c r="CJ1081" s="70"/>
      <c r="CK1081" s="70"/>
      <c r="CL1081" s="70"/>
      <c r="CM1081" s="70"/>
      <c r="CN1081" s="70"/>
      <c r="CO1081" s="70"/>
      <c r="CP1081" s="70"/>
      <c r="CQ1081" s="70"/>
      <c r="CR1081" s="70"/>
      <c r="CS1081" s="70"/>
      <c r="CT1081" s="70"/>
      <c r="CU1081" s="70"/>
      <c r="CV1081" s="70"/>
      <c r="CW1081" s="70"/>
      <c r="CX1081" s="70"/>
      <c r="CY1081" s="70"/>
      <c r="CZ1081" s="70"/>
      <c r="DA1081" s="70"/>
      <c r="DB1081" s="70"/>
      <c r="DC1081" s="70"/>
      <c r="DD1081" s="70"/>
      <c r="DE1081" s="70"/>
      <c r="DF1081" s="70"/>
      <c r="DG1081" s="70"/>
      <c r="DH1081" s="70"/>
      <c r="DI1081" s="70"/>
      <c r="DJ1081" s="70"/>
      <c r="DK1081" s="70"/>
      <c r="DL1081" s="70"/>
      <c r="DM1081" s="70"/>
      <c r="DN1081" s="70"/>
      <c r="DO1081" s="70"/>
      <c r="DP1081" s="70"/>
      <c r="DQ1081" s="70"/>
      <c r="DR1081" s="70"/>
      <c r="DS1081" s="70"/>
      <c r="DT1081" s="70"/>
      <c r="DU1081" s="70"/>
      <c r="DV1081" s="70"/>
      <c r="DW1081" s="70"/>
      <c r="DX1081" s="70"/>
      <c r="DY1081" s="70"/>
      <c r="DZ1081" s="70"/>
      <c r="EA1081" s="70"/>
      <c r="EB1081" s="70"/>
      <c r="EC1081" s="70"/>
      <c r="ED1081" s="70"/>
      <c r="EE1081" s="70"/>
      <c r="EF1081" s="70"/>
      <c r="EG1081" s="70"/>
      <c r="EH1081" s="70"/>
      <c r="EI1081" s="70"/>
      <c r="EJ1081" s="70"/>
      <c r="EK1081" s="70"/>
      <c r="EL1081" s="70"/>
      <c r="EM1081" s="70"/>
      <c r="EN1081" s="70"/>
      <c r="EO1081" s="70"/>
      <c r="EP1081" s="70"/>
      <c r="EQ1081" s="70"/>
      <c r="ER1081" s="70"/>
      <c r="ES1081" s="70"/>
      <c r="ET1081" s="70"/>
      <c r="EU1081" s="70"/>
      <c r="EV1081" s="70"/>
      <c r="EW1081" s="70"/>
      <c r="EX1081" s="70"/>
      <c r="EY1081" s="70"/>
      <c r="EZ1081" s="70"/>
      <c r="FA1081" s="70"/>
      <c r="FB1081" s="70"/>
      <c r="FC1081" s="70"/>
      <c r="FD1081" s="70"/>
      <c r="FE1081" s="70"/>
      <c r="FF1081" s="70"/>
      <c r="FG1081" s="70"/>
      <c r="FH1081" s="70"/>
      <c r="FI1081" s="70"/>
      <c r="FJ1081" s="70"/>
      <c r="FK1081" s="70"/>
      <c r="FL1081" s="70"/>
      <c r="FM1081" s="70"/>
      <c r="FN1081" s="70"/>
      <c r="FO1081" s="70"/>
      <c r="FP1081" s="70"/>
      <c r="FQ1081" s="70"/>
      <c r="FR1081" s="70"/>
      <c r="FS1081" s="70"/>
      <c r="FT1081" s="70"/>
      <c r="FU1081" s="70"/>
      <c r="FV1081" s="70"/>
      <c r="FW1081" s="70"/>
      <c r="FX1081" s="70"/>
      <c r="FY1081" s="70"/>
      <c r="FZ1081" s="70"/>
      <c r="GA1081" s="70"/>
      <c r="GB1081" s="70"/>
      <c r="GC1081" s="70"/>
      <c r="GD1081" s="70"/>
      <c r="GE1081" s="70"/>
      <c r="GF1081" s="70"/>
      <c r="GG1081" s="70"/>
      <c r="GH1081" s="70"/>
      <c r="GI1081" s="70"/>
      <c r="GJ1081" s="70"/>
      <c r="GK1081" s="70"/>
      <c r="GL1081" s="70"/>
      <c r="GM1081" s="70"/>
      <c r="GN1081" s="70"/>
      <c r="GO1081" s="70"/>
      <c r="GP1081" s="70"/>
      <c r="GQ1081" s="70"/>
      <c r="GR1081" s="70"/>
      <c r="GS1081" s="70"/>
      <c r="GT1081" s="70"/>
      <c r="GU1081" s="70"/>
      <c r="GV1081" s="70"/>
      <c r="GW1081" s="70"/>
      <c r="GX1081" s="70"/>
      <c r="GY1081" s="70"/>
      <c r="GZ1081" s="70"/>
      <c r="HA1081" s="70"/>
      <c r="HB1081" s="70"/>
      <c r="HC1081" s="70"/>
      <c r="HD1081" s="70"/>
      <c r="HE1081" s="70"/>
      <c r="HF1081" s="70"/>
      <c r="HG1081" s="70"/>
      <c r="HH1081" s="70"/>
      <c r="HI1081" s="70"/>
      <c r="HJ1081" s="70"/>
      <c r="HK1081" s="70"/>
      <c r="HL1081" s="70"/>
      <c r="HM1081" s="70"/>
      <c r="HN1081" s="70"/>
      <c r="HO1081" s="70"/>
      <c r="HP1081" s="70"/>
      <c r="HQ1081" s="70"/>
      <c r="HR1081" s="70"/>
      <c r="HS1081" s="70"/>
      <c r="HT1081" s="70"/>
      <c r="HU1081" s="70"/>
      <c r="HV1081" s="70"/>
      <c r="HW1081" s="70"/>
      <c r="HX1081" s="70"/>
      <c r="HY1081" s="70"/>
      <c r="HZ1081" s="70"/>
      <c r="IA1081" s="70"/>
      <c r="IB1081" s="70"/>
      <c r="IC1081" s="70"/>
      <c r="ID1081" s="70"/>
      <c r="IE1081" s="70"/>
      <c r="IF1081" s="70"/>
      <c r="IG1081" s="70"/>
      <c r="IH1081" s="70"/>
      <c r="II1081" s="70"/>
      <c r="IJ1081" s="70"/>
      <c r="IK1081" s="70"/>
      <c r="IL1081" s="70"/>
      <c r="IM1081" s="70"/>
      <c r="IN1081" s="70"/>
      <c r="IO1081" s="70"/>
      <c r="IP1081" s="70"/>
      <c r="IQ1081" s="70"/>
      <c r="IR1081" s="70"/>
      <c r="IS1081" s="70"/>
      <c r="IT1081" s="70"/>
      <c r="IU1081" s="70"/>
      <c r="IV1081" s="70"/>
      <c r="IW1081" s="70"/>
      <c r="IX1081" s="70"/>
    </row>
    <row r="1082" spans="1:258" ht="25.2" customHeight="1" x14ac:dyDescent="0.3">
      <c r="A1082" s="46" t="s">
        <v>1877</v>
      </c>
      <c r="B1082" s="49" t="s">
        <v>643</v>
      </c>
      <c r="C1082" s="2">
        <f t="shared" si="267"/>
        <v>1717320</v>
      </c>
      <c r="D1082" s="3">
        <f t="shared" si="268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3">
        <v>260.2</v>
      </c>
      <c r="N1082" s="3">
        <f t="shared" si="272"/>
        <v>1717320</v>
      </c>
      <c r="O1082" s="3">
        <v>0</v>
      </c>
      <c r="P1082" s="3">
        <v>0</v>
      </c>
      <c r="Q1082" s="3">
        <v>0</v>
      </c>
      <c r="R1082" s="3">
        <f t="shared" si="273"/>
        <v>0</v>
      </c>
      <c r="S1082" s="3">
        <v>0</v>
      </c>
      <c r="T1082" s="32">
        <v>0</v>
      </c>
      <c r="U1082" s="3">
        <v>0</v>
      </c>
      <c r="V1082" s="6">
        <f t="shared" si="269"/>
        <v>6600</v>
      </c>
      <c r="W1082" s="59"/>
      <c r="X1082" s="59"/>
      <c r="Y1082" s="59"/>
      <c r="Z1082" s="59"/>
      <c r="AA1082" s="59"/>
      <c r="AB1082" s="59"/>
      <c r="AC1082" s="59"/>
      <c r="AD1082" s="59"/>
      <c r="AE1082" s="59"/>
      <c r="AF1082" s="59"/>
      <c r="AG1082" s="59"/>
      <c r="AH1082" s="59"/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  <c r="CD1082" s="59"/>
      <c r="CE1082" s="59"/>
      <c r="CF1082" s="59"/>
      <c r="CG1082" s="59"/>
      <c r="CH1082" s="59"/>
      <c r="CI1082" s="59"/>
      <c r="CJ1082" s="59"/>
      <c r="CK1082" s="59"/>
      <c r="CL1082" s="59"/>
      <c r="CM1082" s="59"/>
      <c r="CN1082" s="59"/>
      <c r="CO1082" s="59"/>
      <c r="CP1082" s="59"/>
      <c r="CQ1082" s="59"/>
      <c r="CR1082" s="59"/>
      <c r="CS1082" s="59"/>
      <c r="CT1082" s="59"/>
      <c r="CU1082" s="59"/>
      <c r="CV1082" s="59"/>
      <c r="CW1082" s="59"/>
      <c r="CX1082" s="59"/>
      <c r="CY1082" s="59"/>
      <c r="CZ1082" s="59"/>
      <c r="DA1082" s="59"/>
      <c r="DB1082" s="59"/>
      <c r="DC1082" s="59"/>
      <c r="DD1082" s="59"/>
      <c r="DE1082" s="59"/>
      <c r="DF1082" s="59"/>
      <c r="DG1082" s="59"/>
      <c r="DH1082" s="59"/>
      <c r="DI1082" s="59"/>
      <c r="DJ1082" s="59"/>
      <c r="DK1082" s="59"/>
      <c r="DL1082" s="59"/>
      <c r="DM1082" s="59"/>
      <c r="DN1082" s="59"/>
      <c r="DO1082" s="59"/>
      <c r="DP1082" s="59"/>
      <c r="DQ1082" s="59"/>
      <c r="DR1082" s="59"/>
      <c r="DS1082" s="59"/>
      <c r="DT1082" s="59"/>
      <c r="DU1082" s="59"/>
      <c r="DV1082" s="59"/>
      <c r="DW1082" s="59"/>
      <c r="DX1082" s="59"/>
      <c r="DY1082" s="59"/>
      <c r="DZ1082" s="59"/>
      <c r="EA1082" s="59"/>
      <c r="EB1082" s="59"/>
      <c r="EC1082" s="59"/>
      <c r="ED1082" s="59"/>
      <c r="EE1082" s="59"/>
      <c r="EF1082" s="59"/>
      <c r="EG1082" s="59"/>
      <c r="EH1082" s="59"/>
      <c r="EI1082" s="59"/>
      <c r="EJ1082" s="59"/>
      <c r="EK1082" s="59"/>
      <c r="EL1082" s="59"/>
      <c r="EM1082" s="59"/>
      <c r="EN1082" s="59"/>
      <c r="EO1082" s="59"/>
      <c r="EP1082" s="59"/>
      <c r="EQ1082" s="59"/>
      <c r="ER1082" s="59"/>
      <c r="ES1082" s="59"/>
      <c r="ET1082" s="59"/>
      <c r="EU1082" s="59"/>
      <c r="EV1082" s="59"/>
      <c r="EW1082" s="59"/>
      <c r="EX1082" s="59"/>
      <c r="EY1082" s="59"/>
      <c r="EZ1082" s="59"/>
      <c r="FA1082" s="59"/>
      <c r="FB1082" s="59"/>
      <c r="FC1082" s="59"/>
      <c r="FD1082" s="59"/>
      <c r="FE1082" s="59"/>
      <c r="FF1082" s="59"/>
      <c r="FG1082" s="59"/>
      <c r="FH1082" s="59"/>
      <c r="FI1082" s="59"/>
      <c r="FJ1082" s="59"/>
      <c r="FK1082" s="59"/>
      <c r="FL1082" s="59"/>
      <c r="FM1082" s="59"/>
      <c r="FN1082" s="59"/>
      <c r="FO1082" s="59"/>
      <c r="FP1082" s="59"/>
      <c r="FQ1082" s="59"/>
      <c r="FR1082" s="59"/>
      <c r="FS1082" s="59"/>
      <c r="FT1082" s="59"/>
      <c r="FU1082" s="59"/>
      <c r="FV1082" s="59"/>
      <c r="FW1082" s="59"/>
      <c r="FX1082" s="59"/>
      <c r="FY1082" s="59"/>
      <c r="FZ1082" s="59"/>
      <c r="GA1082" s="59"/>
      <c r="GB1082" s="59"/>
      <c r="GC1082" s="59"/>
      <c r="GD1082" s="59"/>
      <c r="GE1082" s="59"/>
      <c r="GF1082" s="59"/>
      <c r="GG1082" s="59"/>
      <c r="GH1082" s="59"/>
      <c r="GI1082" s="59"/>
      <c r="GJ1082" s="59"/>
      <c r="GK1082" s="59"/>
      <c r="GL1082" s="59"/>
      <c r="GM1082" s="59"/>
      <c r="GN1082" s="59"/>
      <c r="GO1082" s="59"/>
      <c r="GP1082" s="59"/>
      <c r="GQ1082" s="59"/>
      <c r="GR1082" s="59"/>
      <c r="GS1082" s="59"/>
      <c r="GT1082" s="59"/>
      <c r="GU1082" s="59"/>
      <c r="GV1082" s="59"/>
      <c r="GW1082" s="59"/>
      <c r="GX1082" s="59"/>
      <c r="GY1082" s="59"/>
      <c r="GZ1082" s="59"/>
      <c r="HA1082" s="59"/>
      <c r="HB1082" s="59"/>
      <c r="HC1082" s="59"/>
      <c r="HD1082" s="59"/>
      <c r="HE1082" s="59"/>
      <c r="HF1082" s="59"/>
      <c r="HG1082" s="59"/>
      <c r="HH1082" s="59"/>
      <c r="HI1082" s="59"/>
      <c r="HJ1082" s="59"/>
      <c r="HK1082" s="59"/>
      <c r="HL1082" s="59"/>
      <c r="HM1082" s="59"/>
      <c r="HN1082" s="59"/>
      <c r="HO1082" s="59"/>
      <c r="HP1082" s="59"/>
      <c r="HQ1082" s="59"/>
      <c r="HR1082" s="59"/>
      <c r="HS1082" s="59"/>
      <c r="HT1082" s="59"/>
      <c r="HU1082" s="59"/>
      <c r="HV1082" s="59"/>
      <c r="HW1082" s="59"/>
      <c r="HX1082" s="59"/>
      <c r="HY1082" s="59"/>
      <c r="HZ1082" s="59"/>
      <c r="IA1082" s="59"/>
      <c r="IB1082" s="59"/>
      <c r="IC1082" s="59"/>
      <c r="ID1082" s="59"/>
      <c r="IE1082" s="59"/>
      <c r="IF1082" s="59"/>
      <c r="IG1082" s="59"/>
      <c r="IH1082" s="59"/>
      <c r="II1082" s="59"/>
      <c r="IJ1082" s="59"/>
      <c r="IK1082" s="59"/>
      <c r="IL1082" s="59"/>
      <c r="IM1082" s="59"/>
      <c r="IN1082" s="59"/>
      <c r="IO1082" s="59"/>
      <c r="IP1082" s="59"/>
      <c r="IQ1082" s="59"/>
      <c r="IR1082" s="59"/>
      <c r="IS1082" s="59"/>
      <c r="IT1082" s="59"/>
      <c r="IU1082" s="59"/>
      <c r="IV1082" s="59"/>
      <c r="IW1082" s="59"/>
      <c r="IX1082" s="59"/>
    </row>
    <row r="1083" spans="1:258" ht="25.2" customHeight="1" x14ac:dyDescent="0.3">
      <c r="A1083" s="46" t="s">
        <v>1878</v>
      </c>
      <c r="B1083" s="49" t="s">
        <v>729</v>
      </c>
      <c r="C1083" s="2">
        <f t="shared" si="267"/>
        <v>1780020</v>
      </c>
      <c r="D1083" s="3">
        <f t="shared" si="268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32">
        <v>269.7</v>
      </c>
      <c r="N1083" s="3">
        <f t="shared" si="272"/>
        <v>1780020</v>
      </c>
      <c r="O1083" s="3">
        <v>0</v>
      </c>
      <c r="P1083" s="3">
        <v>0</v>
      </c>
      <c r="Q1083" s="3">
        <v>0</v>
      </c>
      <c r="R1083" s="3">
        <f t="shared" si="273"/>
        <v>0</v>
      </c>
      <c r="S1083" s="3">
        <v>0</v>
      </c>
      <c r="T1083" s="32">
        <v>0</v>
      </c>
      <c r="U1083" s="3">
        <v>0</v>
      </c>
      <c r="V1083" s="6">
        <f t="shared" si="269"/>
        <v>6600</v>
      </c>
    </row>
    <row r="1084" spans="1:258" ht="25.2" customHeight="1" x14ac:dyDescent="0.3">
      <c r="A1084" s="46" t="s">
        <v>1879</v>
      </c>
      <c r="B1084" s="49" t="s">
        <v>644</v>
      </c>
      <c r="C1084" s="2">
        <f t="shared" si="267"/>
        <v>1698839.9999999998</v>
      </c>
      <c r="D1084" s="3">
        <f t="shared" si="268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32">
        <v>257.39999999999998</v>
      </c>
      <c r="N1084" s="3">
        <f t="shared" si="272"/>
        <v>1698839.9999999998</v>
      </c>
      <c r="O1084" s="3">
        <v>0</v>
      </c>
      <c r="P1084" s="3">
        <v>0</v>
      </c>
      <c r="Q1084" s="3">
        <v>0</v>
      </c>
      <c r="R1084" s="3">
        <f t="shared" si="273"/>
        <v>0</v>
      </c>
      <c r="S1084" s="3">
        <v>0</v>
      </c>
      <c r="T1084" s="32">
        <v>0</v>
      </c>
      <c r="U1084" s="3">
        <v>0</v>
      </c>
      <c r="V1084" s="6">
        <f t="shared" si="269"/>
        <v>6600</v>
      </c>
      <c r="W1084" s="59"/>
      <c r="X1084" s="59"/>
      <c r="Y1084" s="59"/>
      <c r="Z1084" s="59"/>
      <c r="AA1084" s="59"/>
      <c r="AB1084" s="59"/>
      <c r="AC1084" s="59"/>
      <c r="AD1084" s="59"/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  <c r="CD1084" s="59"/>
      <c r="CE1084" s="59"/>
      <c r="CF1084" s="59"/>
      <c r="CG1084" s="59"/>
      <c r="CH1084" s="59"/>
      <c r="CI1084" s="59"/>
      <c r="CJ1084" s="59"/>
      <c r="CK1084" s="59"/>
      <c r="CL1084" s="59"/>
      <c r="CM1084" s="59"/>
      <c r="CN1084" s="59"/>
      <c r="CO1084" s="59"/>
      <c r="CP1084" s="59"/>
      <c r="CQ1084" s="59"/>
      <c r="CR1084" s="59"/>
      <c r="CS1084" s="59"/>
      <c r="CT1084" s="59"/>
      <c r="CU1084" s="59"/>
      <c r="CV1084" s="59"/>
      <c r="CW1084" s="59"/>
      <c r="CX1084" s="59"/>
      <c r="CY1084" s="59"/>
      <c r="CZ1084" s="59"/>
      <c r="DA1084" s="59"/>
      <c r="DB1084" s="59"/>
      <c r="DC1084" s="59"/>
      <c r="DD1084" s="59"/>
      <c r="DE1084" s="59"/>
      <c r="DF1084" s="59"/>
      <c r="DG1084" s="59"/>
      <c r="DH1084" s="59"/>
      <c r="DI1084" s="59"/>
      <c r="DJ1084" s="59"/>
      <c r="DK1084" s="59"/>
      <c r="DL1084" s="59"/>
      <c r="DM1084" s="59"/>
      <c r="DN1084" s="59"/>
      <c r="DO1084" s="59"/>
      <c r="DP1084" s="59"/>
      <c r="DQ1084" s="59"/>
      <c r="DR1084" s="59"/>
      <c r="DS1084" s="59"/>
      <c r="DT1084" s="59"/>
      <c r="DU1084" s="59"/>
      <c r="DV1084" s="59"/>
      <c r="DW1084" s="59"/>
      <c r="DX1084" s="59"/>
      <c r="DY1084" s="59"/>
      <c r="DZ1084" s="59"/>
      <c r="EA1084" s="59"/>
      <c r="EB1084" s="59"/>
      <c r="EC1084" s="59"/>
      <c r="ED1084" s="59"/>
      <c r="EE1084" s="59"/>
      <c r="EF1084" s="59"/>
      <c r="EG1084" s="59"/>
      <c r="EH1084" s="59"/>
      <c r="EI1084" s="59"/>
      <c r="EJ1084" s="59"/>
      <c r="EK1084" s="59"/>
      <c r="EL1084" s="59"/>
      <c r="EM1084" s="59"/>
      <c r="EN1084" s="59"/>
      <c r="EO1084" s="59"/>
      <c r="EP1084" s="59"/>
      <c r="EQ1084" s="59"/>
      <c r="ER1084" s="59"/>
      <c r="ES1084" s="59"/>
      <c r="ET1084" s="59"/>
      <c r="EU1084" s="59"/>
      <c r="EV1084" s="59"/>
      <c r="EW1084" s="59"/>
      <c r="EX1084" s="59"/>
      <c r="EY1084" s="59"/>
      <c r="EZ1084" s="59"/>
      <c r="FA1084" s="59"/>
      <c r="FB1084" s="59"/>
      <c r="FC1084" s="59"/>
      <c r="FD1084" s="59"/>
      <c r="FE1084" s="59"/>
      <c r="FF1084" s="59"/>
      <c r="FG1084" s="59"/>
      <c r="FH1084" s="59"/>
      <c r="FI1084" s="59"/>
      <c r="FJ1084" s="59"/>
      <c r="FK1084" s="59"/>
      <c r="FL1084" s="59"/>
      <c r="FM1084" s="59"/>
      <c r="FN1084" s="59"/>
      <c r="FO1084" s="59"/>
      <c r="FP1084" s="59"/>
      <c r="FQ1084" s="59"/>
      <c r="FR1084" s="59"/>
      <c r="FS1084" s="59"/>
      <c r="FT1084" s="59"/>
      <c r="FU1084" s="59"/>
      <c r="FV1084" s="59"/>
      <c r="FW1084" s="59"/>
      <c r="FX1084" s="59"/>
      <c r="FY1084" s="59"/>
      <c r="FZ1084" s="59"/>
      <c r="GA1084" s="59"/>
      <c r="GB1084" s="59"/>
      <c r="GC1084" s="59"/>
      <c r="GD1084" s="59"/>
      <c r="GE1084" s="59"/>
      <c r="GF1084" s="59"/>
      <c r="GG1084" s="59"/>
      <c r="GH1084" s="59"/>
      <c r="GI1084" s="59"/>
      <c r="GJ1084" s="59"/>
      <c r="GK1084" s="59"/>
      <c r="GL1084" s="59"/>
      <c r="GM1084" s="59"/>
      <c r="GN1084" s="59"/>
      <c r="GO1084" s="59"/>
      <c r="GP1084" s="59"/>
      <c r="GQ1084" s="59"/>
      <c r="GR1084" s="59"/>
      <c r="GS1084" s="59"/>
      <c r="GT1084" s="59"/>
      <c r="GU1084" s="59"/>
      <c r="GV1084" s="59"/>
      <c r="GW1084" s="59"/>
      <c r="GX1084" s="59"/>
      <c r="GY1084" s="59"/>
      <c r="GZ1084" s="59"/>
      <c r="HA1084" s="59"/>
      <c r="HB1084" s="59"/>
      <c r="HC1084" s="59"/>
      <c r="HD1084" s="59"/>
      <c r="HE1084" s="59"/>
      <c r="HF1084" s="59"/>
      <c r="HG1084" s="59"/>
      <c r="HH1084" s="59"/>
      <c r="HI1084" s="59"/>
      <c r="HJ1084" s="59"/>
      <c r="HK1084" s="59"/>
      <c r="HL1084" s="59"/>
      <c r="HM1084" s="59"/>
      <c r="HN1084" s="59"/>
      <c r="HO1084" s="59"/>
      <c r="HP1084" s="59"/>
      <c r="HQ1084" s="59"/>
      <c r="HR1084" s="59"/>
      <c r="HS1084" s="59"/>
      <c r="HT1084" s="59"/>
      <c r="HU1084" s="59"/>
      <c r="HV1084" s="59"/>
      <c r="HW1084" s="59"/>
      <c r="HX1084" s="59"/>
      <c r="HY1084" s="59"/>
      <c r="HZ1084" s="59"/>
      <c r="IA1084" s="59"/>
      <c r="IB1084" s="59"/>
      <c r="IC1084" s="59"/>
      <c r="ID1084" s="59"/>
      <c r="IE1084" s="59"/>
      <c r="IF1084" s="59"/>
      <c r="IG1084" s="59"/>
      <c r="IH1084" s="59"/>
      <c r="II1084" s="59"/>
      <c r="IJ1084" s="59"/>
      <c r="IK1084" s="59"/>
      <c r="IL1084" s="59"/>
      <c r="IM1084" s="59"/>
      <c r="IN1084" s="59"/>
      <c r="IO1084" s="59"/>
      <c r="IP1084" s="59"/>
      <c r="IQ1084" s="59"/>
      <c r="IR1084" s="59"/>
      <c r="IS1084" s="59"/>
      <c r="IT1084" s="59"/>
      <c r="IU1084" s="59"/>
      <c r="IV1084" s="59"/>
      <c r="IW1084" s="59"/>
      <c r="IX1084" s="59"/>
    </row>
    <row r="1085" spans="1:258" ht="25.2" customHeight="1" x14ac:dyDescent="0.3">
      <c r="A1085" s="46" t="s">
        <v>1880</v>
      </c>
      <c r="B1085" s="49" t="s">
        <v>645</v>
      </c>
      <c r="C1085" s="2">
        <f t="shared" si="267"/>
        <v>1739760.0000000002</v>
      </c>
      <c r="D1085" s="3">
        <f t="shared" si="268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263.60000000000002</v>
      </c>
      <c r="N1085" s="3">
        <f t="shared" si="272"/>
        <v>1739760.0000000002</v>
      </c>
      <c r="O1085" s="3">
        <v>0</v>
      </c>
      <c r="P1085" s="3">
        <v>0</v>
      </c>
      <c r="Q1085" s="3">
        <v>0</v>
      </c>
      <c r="R1085" s="3">
        <f t="shared" si="273"/>
        <v>0</v>
      </c>
      <c r="S1085" s="3">
        <v>0</v>
      </c>
      <c r="T1085" s="32">
        <v>0</v>
      </c>
      <c r="U1085" s="3">
        <v>0</v>
      </c>
      <c r="V1085" s="6">
        <f t="shared" si="269"/>
        <v>6600</v>
      </c>
    </row>
    <row r="1086" spans="1:258" ht="25.2" customHeight="1" x14ac:dyDescent="0.3">
      <c r="A1086" s="46" t="s">
        <v>1881</v>
      </c>
      <c r="B1086" s="49" t="s">
        <v>646</v>
      </c>
      <c r="C1086" s="2">
        <f t="shared" si="267"/>
        <v>2553540</v>
      </c>
      <c r="D1086" s="3">
        <f t="shared" si="268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386.9</v>
      </c>
      <c r="N1086" s="3">
        <f t="shared" si="272"/>
        <v>2553540</v>
      </c>
      <c r="O1086" s="3">
        <v>0</v>
      </c>
      <c r="P1086" s="3">
        <v>0</v>
      </c>
      <c r="Q1086" s="3">
        <v>0</v>
      </c>
      <c r="R1086" s="3">
        <f t="shared" si="273"/>
        <v>0</v>
      </c>
      <c r="S1086" s="3">
        <v>0</v>
      </c>
      <c r="T1086" s="32">
        <v>0</v>
      </c>
      <c r="U1086" s="3">
        <v>0</v>
      </c>
      <c r="V1086" s="6">
        <f t="shared" si="269"/>
        <v>6600</v>
      </c>
    </row>
    <row r="1087" spans="1:258" ht="25.2" customHeight="1" x14ac:dyDescent="0.3">
      <c r="A1087" s="46" t="s">
        <v>1882</v>
      </c>
      <c r="B1087" s="49" t="s">
        <v>1958</v>
      </c>
      <c r="C1087" s="2">
        <f t="shared" ref="C1087" si="274">D1087+L1087+N1087+P1087+R1087+S1087+T1087+U1087</f>
        <v>5562500</v>
      </c>
      <c r="D1087" s="3">
        <f t="shared" ref="D1087" si="275">SUM(E1087:J1087)</f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3">
        <v>1250</v>
      </c>
      <c r="N1087" s="3">
        <f>M1087*4450</f>
        <v>5562500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2">
        <v>0</v>
      </c>
      <c r="U1087" s="3">
        <v>0</v>
      </c>
      <c r="V1087" s="6">
        <f t="shared" si="269"/>
        <v>4450</v>
      </c>
    </row>
    <row r="1088" spans="1:258" ht="25.2" customHeight="1" x14ac:dyDescent="0.3">
      <c r="A1088" s="46" t="s">
        <v>1883</v>
      </c>
      <c r="B1088" s="49" t="s">
        <v>548</v>
      </c>
      <c r="C1088" s="2">
        <f t="shared" si="267"/>
        <v>3366000</v>
      </c>
      <c r="D1088" s="3">
        <f t="shared" si="268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3">
        <v>0</v>
      </c>
      <c r="L1088" s="32">
        <v>0</v>
      </c>
      <c r="M1088" s="32">
        <v>510</v>
      </c>
      <c r="N1088" s="3">
        <f t="shared" si="272"/>
        <v>3366000</v>
      </c>
      <c r="O1088" s="32">
        <v>0</v>
      </c>
      <c r="P1088" s="32">
        <v>0</v>
      </c>
      <c r="Q1088" s="32">
        <v>0</v>
      </c>
      <c r="R1088" s="3">
        <f t="shared" si="273"/>
        <v>0</v>
      </c>
      <c r="S1088" s="32">
        <v>0</v>
      </c>
      <c r="T1088" s="32">
        <v>0</v>
      </c>
      <c r="U1088" s="32">
        <v>0</v>
      </c>
      <c r="V1088" s="6">
        <f t="shared" si="269"/>
        <v>6600</v>
      </c>
    </row>
    <row r="1089" spans="1:22" ht="25.2" customHeight="1" x14ac:dyDescent="0.3">
      <c r="A1089" s="46" t="s">
        <v>1884</v>
      </c>
      <c r="B1089" s="49" t="s">
        <v>825</v>
      </c>
      <c r="C1089" s="2">
        <f t="shared" si="267"/>
        <v>2900000</v>
      </c>
      <c r="D1089" s="3">
        <f t="shared" si="268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1</v>
      </c>
      <c r="L1089" s="3">
        <f>K1089*2700000</f>
        <v>2700000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f t="shared" si="273"/>
        <v>0</v>
      </c>
      <c r="S1089" s="3">
        <v>0</v>
      </c>
      <c r="T1089" s="32">
        <v>0</v>
      </c>
      <c r="U1089" s="3">
        <v>200000</v>
      </c>
      <c r="V1089" s="6" t="e">
        <f t="shared" si="269"/>
        <v>#DIV/0!</v>
      </c>
    </row>
    <row r="1090" spans="1:22" ht="25.2" customHeight="1" x14ac:dyDescent="0.3">
      <c r="A1090" s="46" t="s">
        <v>1885</v>
      </c>
      <c r="B1090" s="49" t="s">
        <v>984</v>
      </c>
      <c r="C1090" s="2">
        <f t="shared" si="267"/>
        <v>2877347.27</v>
      </c>
      <c r="D1090" s="3">
        <f t="shared" si="268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1</v>
      </c>
      <c r="L1090" s="3">
        <v>2700000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f t="shared" si="273"/>
        <v>0</v>
      </c>
      <c r="S1090" s="3">
        <v>0</v>
      </c>
      <c r="T1090" s="32">
        <v>0</v>
      </c>
      <c r="U1090" s="3">
        <v>177347.27</v>
      </c>
      <c r="V1090" s="6" t="e">
        <f t="shared" si="269"/>
        <v>#DIV/0!</v>
      </c>
    </row>
    <row r="1091" spans="1:22" ht="25.2" customHeight="1" x14ac:dyDescent="0.3">
      <c r="A1091" s="46" t="s">
        <v>1886</v>
      </c>
      <c r="B1091" s="49" t="s">
        <v>730</v>
      </c>
      <c r="C1091" s="2">
        <f t="shared" si="267"/>
        <v>4421075</v>
      </c>
      <c r="D1091" s="3">
        <f t="shared" si="268"/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4">
        <v>0</v>
      </c>
      <c r="L1091" s="3">
        <v>0</v>
      </c>
      <c r="M1091" s="32">
        <v>993.5</v>
      </c>
      <c r="N1091" s="3">
        <f>M1091*4450</f>
        <v>4421075</v>
      </c>
      <c r="O1091" s="3">
        <v>0</v>
      </c>
      <c r="P1091" s="3">
        <v>0</v>
      </c>
      <c r="Q1091" s="3">
        <v>0</v>
      </c>
      <c r="R1091" s="3">
        <f t="shared" si="273"/>
        <v>0</v>
      </c>
      <c r="S1091" s="3">
        <v>0</v>
      </c>
      <c r="T1091" s="32">
        <v>0</v>
      </c>
      <c r="U1091" s="3">
        <v>0</v>
      </c>
      <c r="V1091" s="6">
        <f t="shared" si="269"/>
        <v>4450</v>
      </c>
    </row>
    <row r="1092" spans="1:22" ht="25.2" customHeight="1" x14ac:dyDescent="0.3">
      <c r="A1092" s="46" t="s">
        <v>1887</v>
      </c>
      <c r="B1092" s="49" t="s">
        <v>784</v>
      </c>
      <c r="C1092" s="2">
        <f t="shared" si="267"/>
        <v>22639917.120000001</v>
      </c>
      <c r="D1092" s="3">
        <f t="shared" si="268"/>
        <v>9572160</v>
      </c>
      <c r="E1092" s="3">
        <f>700*3190.72</f>
        <v>2233504</v>
      </c>
      <c r="F1092" s="3">
        <f>1300*3190.72</f>
        <v>4147935.9999999995</v>
      </c>
      <c r="G1092" s="3">
        <f>300*3190.72</f>
        <v>957215.99999999988</v>
      </c>
      <c r="H1092" s="3">
        <f>400*3190.72</f>
        <v>1276288</v>
      </c>
      <c r="I1092" s="3">
        <f>300*3190.72</f>
        <v>957215.99999999988</v>
      </c>
      <c r="J1092" s="3">
        <v>0</v>
      </c>
      <c r="K1092" s="4">
        <v>0</v>
      </c>
      <c r="L1092" s="3">
        <v>0</v>
      </c>
      <c r="M1092" s="32">
        <v>1185.4000000000001</v>
      </c>
      <c r="N1092" s="3">
        <f>M1092*4450</f>
        <v>5275030</v>
      </c>
      <c r="O1092" s="3">
        <v>0</v>
      </c>
      <c r="P1092" s="3">
        <v>0</v>
      </c>
      <c r="Q1092" s="32">
        <v>2360</v>
      </c>
      <c r="R1092" s="3">
        <f t="shared" si="273"/>
        <v>7552000</v>
      </c>
      <c r="S1092" s="32">
        <v>0</v>
      </c>
      <c r="T1092" s="32">
        <v>0</v>
      </c>
      <c r="U1092" s="3">
        <v>240727.12</v>
      </c>
      <c r="V1092" s="6">
        <f t="shared" si="269"/>
        <v>4450</v>
      </c>
    </row>
    <row r="1093" spans="1:22" ht="25.2" customHeight="1" x14ac:dyDescent="0.3">
      <c r="A1093" s="46" t="s">
        <v>1888</v>
      </c>
      <c r="B1093" s="49" t="s">
        <v>785</v>
      </c>
      <c r="C1093" s="2">
        <f t="shared" si="267"/>
        <v>27604767.859999999</v>
      </c>
      <c r="D1093" s="3">
        <f t="shared" si="268"/>
        <v>12399300.000000002</v>
      </c>
      <c r="E1093" s="3">
        <f>700*4133.1</f>
        <v>2893170.0000000005</v>
      </c>
      <c r="F1093" s="3">
        <f>1300*4133.1</f>
        <v>5373030.0000000009</v>
      </c>
      <c r="G1093" s="3">
        <f>300*4133.1</f>
        <v>1239930</v>
      </c>
      <c r="H1093" s="3">
        <f>400*4133.1</f>
        <v>1653240.0000000002</v>
      </c>
      <c r="I1093" s="3">
        <f>300*4133.1</f>
        <v>1239930</v>
      </c>
      <c r="J1093" s="3">
        <v>0</v>
      </c>
      <c r="K1093" s="4">
        <v>0</v>
      </c>
      <c r="L1093" s="3">
        <v>0</v>
      </c>
      <c r="M1093" s="32">
        <v>1226.5999999999999</v>
      </c>
      <c r="N1093" s="3">
        <f>M1093*4450</f>
        <v>5458370</v>
      </c>
      <c r="O1093" s="3">
        <v>0</v>
      </c>
      <c r="P1093" s="3">
        <v>0</v>
      </c>
      <c r="Q1093" s="3">
        <v>2950</v>
      </c>
      <c r="R1093" s="3">
        <f t="shared" si="273"/>
        <v>9440000</v>
      </c>
      <c r="S1093" s="3">
        <v>0</v>
      </c>
      <c r="T1093" s="32">
        <v>0</v>
      </c>
      <c r="U1093" s="3">
        <v>307097.86</v>
      </c>
      <c r="V1093" s="6">
        <f t="shared" si="269"/>
        <v>4450</v>
      </c>
    </row>
    <row r="1094" spans="1:22" ht="25.2" customHeight="1" x14ac:dyDescent="0.3">
      <c r="A1094" s="46" t="s">
        <v>1889</v>
      </c>
      <c r="B1094" s="49" t="s">
        <v>786</v>
      </c>
      <c r="C1094" s="2">
        <f t="shared" si="267"/>
        <v>21820408.780000001</v>
      </c>
      <c r="D1094" s="3">
        <f t="shared" si="268"/>
        <v>9499500</v>
      </c>
      <c r="E1094" s="3">
        <f>700*3166.5</f>
        <v>2216550</v>
      </c>
      <c r="F1094" s="3">
        <f>1300*3166.5</f>
        <v>4116450</v>
      </c>
      <c r="G1094" s="3">
        <f>300*3166.5</f>
        <v>949950</v>
      </c>
      <c r="H1094" s="3">
        <f>400*3166.5</f>
        <v>1266600</v>
      </c>
      <c r="I1094" s="3">
        <f>300*3166.5</f>
        <v>949950</v>
      </c>
      <c r="J1094" s="3">
        <v>0</v>
      </c>
      <c r="K1094" s="4">
        <v>0</v>
      </c>
      <c r="L1094" s="3">
        <v>0</v>
      </c>
      <c r="M1094" s="32">
        <v>1017.5</v>
      </c>
      <c r="N1094" s="3">
        <f>M1094*4450</f>
        <v>4527875</v>
      </c>
      <c r="O1094" s="3">
        <v>0</v>
      </c>
      <c r="P1094" s="3">
        <v>0</v>
      </c>
      <c r="Q1094" s="32">
        <v>2360</v>
      </c>
      <c r="R1094" s="3">
        <f t="shared" si="273"/>
        <v>7552000</v>
      </c>
      <c r="S1094" s="3">
        <v>0</v>
      </c>
      <c r="T1094" s="32">
        <v>0</v>
      </c>
      <c r="U1094" s="32">
        <v>241033.78</v>
      </c>
      <c r="V1094" s="6">
        <f t="shared" si="269"/>
        <v>4450</v>
      </c>
    </row>
    <row r="1095" spans="1:22" ht="25.2" customHeight="1" x14ac:dyDescent="0.3">
      <c r="A1095" s="46" t="s">
        <v>1984</v>
      </c>
      <c r="B1095" s="49" t="s">
        <v>647</v>
      </c>
      <c r="C1095" s="2">
        <f t="shared" si="267"/>
        <v>4966820</v>
      </c>
      <c r="D1095" s="3">
        <f t="shared" si="268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33">
        <v>0</v>
      </c>
      <c r="L1095" s="32">
        <v>0</v>
      </c>
      <c r="M1095" s="32">
        <v>427.7</v>
      </c>
      <c r="N1095" s="3">
        <f>M1095*6600</f>
        <v>2822820</v>
      </c>
      <c r="O1095" s="32">
        <v>0</v>
      </c>
      <c r="P1095" s="32">
        <v>0</v>
      </c>
      <c r="Q1095" s="32">
        <v>670</v>
      </c>
      <c r="R1095" s="3">
        <f t="shared" si="273"/>
        <v>2144000</v>
      </c>
      <c r="S1095" s="32">
        <v>0</v>
      </c>
      <c r="T1095" s="32">
        <v>0</v>
      </c>
      <c r="U1095" s="32">
        <v>0</v>
      </c>
      <c r="V1095" s="6">
        <f t="shared" si="269"/>
        <v>6600</v>
      </c>
    </row>
    <row r="1096" spans="1:22" ht="24.6" customHeight="1" x14ac:dyDescent="0.3">
      <c r="A1096" s="46" t="s">
        <v>1890</v>
      </c>
      <c r="B1096" s="49" t="s">
        <v>648</v>
      </c>
      <c r="C1096" s="2">
        <f t="shared" si="267"/>
        <v>3475760</v>
      </c>
      <c r="D1096" s="3">
        <f t="shared" si="268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33">
        <v>0</v>
      </c>
      <c r="L1096" s="32">
        <v>0</v>
      </c>
      <c r="M1096" s="3">
        <v>303.60000000000002</v>
      </c>
      <c r="N1096" s="3">
        <f>M1096*6600</f>
        <v>2003760.0000000002</v>
      </c>
      <c r="O1096" s="3">
        <v>0</v>
      </c>
      <c r="P1096" s="3">
        <v>0</v>
      </c>
      <c r="Q1096" s="3">
        <v>460</v>
      </c>
      <c r="R1096" s="3">
        <f t="shared" si="273"/>
        <v>1472000</v>
      </c>
      <c r="S1096" s="32">
        <v>0</v>
      </c>
      <c r="T1096" s="32">
        <v>0</v>
      </c>
      <c r="U1096" s="32">
        <v>0</v>
      </c>
      <c r="V1096" s="6">
        <f t="shared" si="269"/>
        <v>6600</v>
      </c>
    </row>
    <row r="1097" spans="1:22" ht="25.2" customHeight="1" x14ac:dyDescent="0.3">
      <c r="A1097" s="46" t="s">
        <v>1891</v>
      </c>
      <c r="B1097" s="49" t="s">
        <v>649</v>
      </c>
      <c r="C1097" s="2">
        <f t="shared" si="267"/>
        <v>3452000</v>
      </c>
      <c r="D1097" s="3">
        <f t="shared" si="268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3">
        <v>0</v>
      </c>
      <c r="L1097" s="32">
        <v>0</v>
      </c>
      <c r="M1097" s="3">
        <v>300</v>
      </c>
      <c r="N1097" s="3">
        <f>M1097*6600</f>
        <v>1980000</v>
      </c>
      <c r="O1097" s="3">
        <v>0</v>
      </c>
      <c r="P1097" s="3">
        <v>0</v>
      </c>
      <c r="Q1097" s="3">
        <v>460</v>
      </c>
      <c r="R1097" s="3">
        <f t="shared" si="273"/>
        <v>1472000</v>
      </c>
      <c r="S1097" s="3">
        <v>0</v>
      </c>
      <c r="T1097" s="32">
        <v>0</v>
      </c>
      <c r="U1097" s="32">
        <v>0</v>
      </c>
      <c r="V1097" s="6">
        <f t="shared" si="269"/>
        <v>6600</v>
      </c>
    </row>
    <row r="1098" spans="1:22" ht="25.2" customHeight="1" x14ac:dyDescent="0.3">
      <c r="A1098" s="46" t="s">
        <v>1892</v>
      </c>
      <c r="B1098" s="49" t="s">
        <v>650</v>
      </c>
      <c r="C1098" s="2">
        <f t="shared" si="267"/>
        <v>3484340</v>
      </c>
      <c r="D1098" s="3">
        <f t="shared" si="268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3">
        <v>0</v>
      </c>
      <c r="L1098" s="32">
        <v>0</v>
      </c>
      <c r="M1098" s="3">
        <v>304.89999999999998</v>
      </c>
      <c r="N1098" s="3">
        <f>M1098*6600</f>
        <v>2012339.9999999998</v>
      </c>
      <c r="O1098" s="3">
        <v>0</v>
      </c>
      <c r="P1098" s="3">
        <v>0</v>
      </c>
      <c r="Q1098" s="3">
        <v>460</v>
      </c>
      <c r="R1098" s="3">
        <f t="shared" si="273"/>
        <v>1472000</v>
      </c>
      <c r="S1098" s="3">
        <v>0</v>
      </c>
      <c r="T1098" s="32">
        <v>0</v>
      </c>
      <c r="U1098" s="32">
        <v>0</v>
      </c>
      <c r="V1098" s="6">
        <f t="shared" si="269"/>
        <v>6600</v>
      </c>
    </row>
    <row r="1099" spans="1:22" ht="25.2" customHeight="1" x14ac:dyDescent="0.3">
      <c r="A1099" s="46" t="s">
        <v>1893</v>
      </c>
      <c r="B1099" s="49" t="s">
        <v>731</v>
      </c>
      <c r="C1099" s="2">
        <f t="shared" si="267"/>
        <v>4593600</v>
      </c>
      <c r="D1099" s="3">
        <f t="shared" si="268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32">
        <v>696</v>
      </c>
      <c r="N1099" s="3">
        <f>M1099*6600</f>
        <v>4593600</v>
      </c>
      <c r="O1099" s="3">
        <v>0</v>
      </c>
      <c r="P1099" s="3">
        <v>0</v>
      </c>
      <c r="Q1099" s="3">
        <v>0</v>
      </c>
      <c r="R1099" s="3">
        <f t="shared" si="273"/>
        <v>0</v>
      </c>
      <c r="S1099" s="3">
        <v>0</v>
      </c>
      <c r="T1099" s="32">
        <v>0</v>
      </c>
      <c r="U1099" s="3">
        <v>0</v>
      </c>
      <c r="V1099" s="6">
        <f t="shared" si="269"/>
        <v>6600</v>
      </c>
    </row>
    <row r="1100" spans="1:22" ht="25.2" customHeight="1" x14ac:dyDescent="0.3">
      <c r="A1100" s="46" t="s">
        <v>1894</v>
      </c>
      <c r="B1100" s="49" t="s">
        <v>402</v>
      </c>
      <c r="C1100" s="2">
        <f t="shared" si="267"/>
        <v>5022892.8</v>
      </c>
      <c r="D1100" s="3">
        <f t="shared" si="268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764.16</v>
      </c>
      <c r="N1100" s="3">
        <v>5022892.8</v>
      </c>
      <c r="O1100" s="3">
        <v>0</v>
      </c>
      <c r="P1100" s="3">
        <v>0</v>
      </c>
      <c r="Q1100" s="3">
        <v>0</v>
      </c>
      <c r="R1100" s="3">
        <f t="shared" si="273"/>
        <v>0</v>
      </c>
      <c r="S1100" s="3">
        <v>0</v>
      </c>
      <c r="T1100" s="32">
        <v>0</v>
      </c>
      <c r="U1100" s="3">
        <v>0</v>
      </c>
      <c r="V1100" s="6">
        <f t="shared" si="269"/>
        <v>6573.0904522613064</v>
      </c>
    </row>
    <row r="1101" spans="1:22" ht="25.2" customHeight="1" x14ac:dyDescent="0.3">
      <c r="A1101" s="46" t="s">
        <v>1895</v>
      </c>
      <c r="B1101" s="49" t="s">
        <v>403</v>
      </c>
      <c r="C1101" s="2">
        <f t="shared" si="267"/>
        <v>300000</v>
      </c>
      <c r="D1101" s="3">
        <f t="shared" si="268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0</v>
      </c>
      <c r="N1101" s="3">
        <f>M1101*6600</f>
        <v>0</v>
      </c>
      <c r="O1101" s="3">
        <v>0</v>
      </c>
      <c r="P1101" s="3">
        <v>0</v>
      </c>
      <c r="Q1101" s="3">
        <v>0</v>
      </c>
      <c r="R1101" s="3">
        <f t="shared" si="273"/>
        <v>0</v>
      </c>
      <c r="S1101" s="3">
        <v>0</v>
      </c>
      <c r="T1101" s="32">
        <v>0</v>
      </c>
      <c r="U1101" s="3">
        <v>300000</v>
      </c>
      <c r="V1101" s="6" t="e">
        <f t="shared" si="269"/>
        <v>#DIV/0!</v>
      </c>
    </row>
    <row r="1102" spans="1:22" ht="25.2" customHeight="1" x14ac:dyDescent="0.3">
      <c r="A1102" s="46" t="s">
        <v>1896</v>
      </c>
      <c r="B1102" s="49" t="s">
        <v>651</v>
      </c>
      <c r="C1102" s="2">
        <f t="shared" si="267"/>
        <v>3942179.9999999995</v>
      </c>
      <c r="D1102" s="3">
        <f t="shared" si="268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3">
        <v>597.29999999999995</v>
      </c>
      <c r="N1102" s="3">
        <f>M1102*6600</f>
        <v>3942179.9999999995</v>
      </c>
      <c r="O1102" s="3">
        <v>0</v>
      </c>
      <c r="P1102" s="3">
        <v>0</v>
      </c>
      <c r="Q1102" s="3">
        <v>0</v>
      </c>
      <c r="R1102" s="3">
        <f t="shared" si="273"/>
        <v>0</v>
      </c>
      <c r="S1102" s="3">
        <v>0</v>
      </c>
      <c r="T1102" s="32">
        <v>0</v>
      </c>
      <c r="U1102" s="3">
        <v>0</v>
      </c>
      <c r="V1102" s="6">
        <f t="shared" si="269"/>
        <v>6600</v>
      </c>
    </row>
    <row r="1103" spans="1:22" ht="42.9" customHeight="1" x14ac:dyDescent="0.3">
      <c r="A1103" s="45" t="s">
        <v>288</v>
      </c>
      <c r="B1103" s="45"/>
      <c r="C1103" s="2">
        <f t="shared" ref="C1103:U1103" si="276">SUM(C1104)</f>
        <v>10203402.74</v>
      </c>
      <c r="D1103" s="2">
        <f t="shared" si="276"/>
        <v>5592340</v>
      </c>
      <c r="E1103" s="2">
        <f t="shared" si="276"/>
        <v>1505630</v>
      </c>
      <c r="F1103" s="2">
        <f t="shared" si="276"/>
        <v>2796170</v>
      </c>
      <c r="G1103" s="2">
        <f t="shared" si="276"/>
        <v>645270</v>
      </c>
      <c r="H1103" s="2">
        <f t="shared" si="276"/>
        <v>0</v>
      </c>
      <c r="I1103" s="2">
        <f t="shared" si="276"/>
        <v>645270</v>
      </c>
      <c r="J1103" s="2">
        <f t="shared" si="276"/>
        <v>0</v>
      </c>
      <c r="K1103" s="38">
        <f t="shared" si="276"/>
        <v>0</v>
      </c>
      <c r="L1103" s="2">
        <f t="shared" si="276"/>
        <v>0</v>
      </c>
      <c r="M1103" s="2">
        <f t="shared" si="276"/>
        <v>0</v>
      </c>
      <c r="N1103" s="2">
        <f t="shared" si="276"/>
        <v>0</v>
      </c>
      <c r="O1103" s="2">
        <f t="shared" si="276"/>
        <v>0</v>
      </c>
      <c r="P1103" s="2">
        <f t="shared" si="276"/>
        <v>0</v>
      </c>
      <c r="Q1103" s="2">
        <f t="shared" si="276"/>
        <v>1381.58</v>
      </c>
      <c r="R1103" s="2">
        <f t="shared" si="276"/>
        <v>4421056</v>
      </c>
      <c r="S1103" s="2">
        <f t="shared" si="276"/>
        <v>0</v>
      </c>
      <c r="T1103" s="2">
        <f t="shared" si="276"/>
        <v>0</v>
      </c>
      <c r="U1103" s="2">
        <f t="shared" si="276"/>
        <v>190006.74</v>
      </c>
    </row>
    <row r="1104" spans="1:22" ht="25.2" customHeight="1" x14ac:dyDescent="0.3">
      <c r="A1104" s="34" t="s">
        <v>1897</v>
      </c>
      <c r="B1104" s="49" t="s">
        <v>289</v>
      </c>
      <c r="C1104" s="2">
        <f>D1104+L1104+N1104+P1104+R1104+S1104+T1104+U1104</f>
        <v>10203402.74</v>
      </c>
      <c r="D1104" s="3">
        <f>SUM(E1104:J1104)</f>
        <v>5592340</v>
      </c>
      <c r="E1104" s="32">
        <f>700*2150.9</f>
        <v>1505630</v>
      </c>
      <c r="F1104" s="32">
        <f>1300*2150.9</f>
        <v>2796170</v>
      </c>
      <c r="G1104" s="32">
        <f>300*2150.9</f>
        <v>645270</v>
      </c>
      <c r="H1104" s="32">
        <v>0</v>
      </c>
      <c r="I1104" s="32">
        <f>300*2150.9</f>
        <v>645270</v>
      </c>
      <c r="J1104" s="32">
        <f>350*0</f>
        <v>0</v>
      </c>
      <c r="K1104" s="33">
        <v>0</v>
      </c>
      <c r="L1104" s="32">
        <v>0</v>
      </c>
      <c r="M1104" s="32">
        <v>0</v>
      </c>
      <c r="N1104" s="32">
        <v>0</v>
      </c>
      <c r="O1104" s="32">
        <v>0</v>
      </c>
      <c r="P1104" s="32">
        <v>0</v>
      </c>
      <c r="Q1104" s="32">
        <v>1381.58</v>
      </c>
      <c r="R1104" s="3">
        <f>Q1104*3200</f>
        <v>4421056</v>
      </c>
      <c r="S1104" s="32">
        <v>0</v>
      </c>
      <c r="T1104" s="32">
        <v>0</v>
      </c>
      <c r="U1104" s="32">
        <v>190006.74</v>
      </c>
      <c r="V1104" s="6" t="e">
        <f>N1104/M1104</f>
        <v>#DIV/0!</v>
      </c>
    </row>
    <row r="1105" spans="1:258" ht="42.9" customHeight="1" x14ac:dyDescent="0.3">
      <c r="A1105" s="45" t="s">
        <v>1808</v>
      </c>
      <c r="B1105" s="45"/>
      <c r="C1105" s="2">
        <f t="shared" ref="C1105:U1105" si="277">SUM(C1106)</f>
        <v>6675000</v>
      </c>
      <c r="D1105" s="2">
        <f t="shared" si="277"/>
        <v>0</v>
      </c>
      <c r="E1105" s="2">
        <f t="shared" si="277"/>
        <v>0</v>
      </c>
      <c r="F1105" s="2">
        <f t="shared" si="277"/>
        <v>0</v>
      </c>
      <c r="G1105" s="2">
        <f t="shared" si="277"/>
        <v>0</v>
      </c>
      <c r="H1105" s="2">
        <f t="shared" si="277"/>
        <v>0</v>
      </c>
      <c r="I1105" s="2">
        <f t="shared" si="277"/>
        <v>0</v>
      </c>
      <c r="J1105" s="2">
        <f t="shared" si="277"/>
        <v>0</v>
      </c>
      <c r="K1105" s="38">
        <f t="shared" si="277"/>
        <v>0</v>
      </c>
      <c r="L1105" s="2">
        <f t="shared" si="277"/>
        <v>0</v>
      </c>
      <c r="M1105" s="2">
        <f t="shared" si="277"/>
        <v>1500</v>
      </c>
      <c r="N1105" s="2">
        <f t="shared" si="277"/>
        <v>6675000</v>
      </c>
      <c r="O1105" s="2">
        <f t="shared" si="277"/>
        <v>0</v>
      </c>
      <c r="P1105" s="2">
        <f t="shared" si="277"/>
        <v>0</v>
      </c>
      <c r="Q1105" s="2">
        <f t="shared" si="277"/>
        <v>0</v>
      </c>
      <c r="R1105" s="2">
        <f t="shared" si="277"/>
        <v>0</v>
      </c>
      <c r="S1105" s="2">
        <f t="shared" si="277"/>
        <v>0</v>
      </c>
      <c r="T1105" s="2">
        <f t="shared" si="277"/>
        <v>0</v>
      </c>
      <c r="U1105" s="2">
        <f t="shared" si="277"/>
        <v>0</v>
      </c>
    </row>
    <row r="1106" spans="1:258" ht="25.2" customHeight="1" x14ac:dyDescent="0.3">
      <c r="A1106" s="46" t="s">
        <v>1898</v>
      </c>
      <c r="B1106" s="49" t="s">
        <v>1809</v>
      </c>
      <c r="C1106" s="2">
        <f>D1106+L1106+N1106+P1106+R1106+S1106+T1106+U1106</f>
        <v>6675000</v>
      </c>
      <c r="D1106" s="3">
        <f>SUM(E1106:J1106)</f>
        <v>0</v>
      </c>
      <c r="E1106" s="3">
        <v>0</v>
      </c>
      <c r="F1106" s="3">
        <v>0</v>
      </c>
      <c r="G1106" s="3">
        <f>300*0</f>
        <v>0</v>
      </c>
      <c r="H1106" s="3">
        <f>400*0</f>
        <v>0</v>
      </c>
      <c r="I1106" s="3">
        <f>250*0</f>
        <v>0</v>
      </c>
      <c r="J1106" s="3">
        <v>0</v>
      </c>
      <c r="K1106" s="4">
        <v>0</v>
      </c>
      <c r="L1106" s="3">
        <v>0</v>
      </c>
      <c r="M1106" s="3">
        <v>1500</v>
      </c>
      <c r="N1106" s="3">
        <f>M1106*4450</f>
        <v>6675000</v>
      </c>
      <c r="O1106" s="3">
        <v>0</v>
      </c>
      <c r="P1106" s="3">
        <v>0</v>
      </c>
      <c r="Q1106" s="3">
        <v>0</v>
      </c>
      <c r="R1106" s="3">
        <f>Q1106*3000</f>
        <v>0</v>
      </c>
      <c r="S1106" s="3">
        <v>0</v>
      </c>
      <c r="T1106" s="3">
        <v>0</v>
      </c>
      <c r="U1106" s="3">
        <v>0</v>
      </c>
      <c r="V1106" s="6">
        <f>N1106/M1106</f>
        <v>4450</v>
      </c>
    </row>
    <row r="1107" spans="1:258" ht="42.9" customHeight="1" x14ac:dyDescent="0.3">
      <c r="A1107" s="45" t="s">
        <v>266</v>
      </c>
      <c r="B1107" s="45"/>
      <c r="C1107" s="2">
        <f t="shared" ref="C1107:U1107" si="278">SUM(C1108:C1109)</f>
        <v>8865099.9800000004</v>
      </c>
      <c r="D1107" s="2">
        <f t="shared" si="278"/>
        <v>1321655</v>
      </c>
      <c r="E1107" s="2">
        <f t="shared" si="278"/>
        <v>413455</v>
      </c>
      <c r="F1107" s="2">
        <f t="shared" si="278"/>
        <v>621400</v>
      </c>
      <c r="G1107" s="2">
        <f t="shared" si="278"/>
        <v>143400</v>
      </c>
      <c r="H1107" s="2">
        <f t="shared" si="278"/>
        <v>0</v>
      </c>
      <c r="I1107" s="2">
        <f t="shared" si="278"/>
        <v>143400</v>
      </c>
      <c r="J1107" s="2">
        <f t="shared" si="278"/>
        <v>0</v>
      </c>
      <c r="K1107" s="38">
        <f t="shared" si="278"/>
        <v>0</v>
      </c>
      <c r="L1107" s="2">
        <f t="shared" si="278"/>
        <v>0</v>
      </c>
      <c r="M1107" s="2">
        <f t="shared" si="278"/>
        <v>688.2</v>
      </c>
      <c r="N1107" s="2">
        <f t="shared" si="278"/>
        <v>4260300</v>
      </c>
      <c r="O1107" s="2">
        <f t="shared" si="278"/>
        <v>0</v>
      </c>
      <c r="P1107" s="2">
        <f t="shared" si="278"/>
        <v>0</v>
      </c>
      <c r="Q1107" s="2">
        <f t="shared" si="278"/>
        <v>982</v>
      </c>
      <c r="R1107" s="2">
        <f t="shared" si="278"/>
        <v>3049320</v>
      </c>
      <c r="S1107" s="2">
        <f t="shared" si="278"/>
        <v>0</v>
      </c>
      <c r="T1107" s="2">
        <f t="shared" si="278"/>
        <v>0</v>
      </c>
      <c r="U1107" s="2">
        <f t="shared" si="278"/>
        <v>233824.98</v>
      </c>
    </row>
    <row r="1108" spans="1:258" ht="25.2" customHeight="1" x14ac:dyDescent="0.3">
      <c r="A1108" s="46" t="s">
        <v>1899</v>
      </c>
      <c r="B1108" s="49" t="s">
        <v>290</v>
      </c>
      <c r="C1108" s="2">
        <f>D1108+L1108+N1108+P1108+R1108+S1108+T1108+U1108</f>
        <v>2984155</v>
      </c>
      <c r="D1108" s="3">
        <f>SUM(E1108:J1108)</f>
        <v>78855</v>
      </c>
      <c r="E1108" s="3">
        <f>350*225.3</f>
        <v>78855</v>
      </c>
      <c r="F1108" s="3">
        <f>1050*0</f>
        <v>0</v>
      </c>
      <c r="G1108" s="3">
        <f>300*0</f>
        <v>0</v>
      </c>
      <c r="H1108" s="3">
        <f>400*0</f>
        <v>0</v>
      </c>
      <c r="I1108" s="3">
        <f>250*0</f>
        <v>0</v>
      </c>
      <c r="J1108" s="3">
        <v>0</v>
      </c>
      <c r="K1108" s="4">
        <v>0</v>
      </c>
      <c r="L1108" s="3">
        <v>0</v>
      </c>
      <c r="M1108" s="3">
        <v>256.2</v>
      </c>
      <c r="N1108" s="3">
        <f>M1108*5500</f>
        <v>1409100</v>
      </c>
      <c r="O1108" s="3">
        <v>0</v>
      </c>
      <c r="P1108" s="3">
        <v>0</v>
      </c>
      <c r="Q1108" s="3">
        <v>465.4</v>
      </c>
      <c r="R1108" s="3">
        <f>Q1108*3000</f>
        <v>1396200</v>
      </c>
      <c r="S1108" s="3">
        <v>0</v>
      </c>
      <c r="T1108" s="3">
        <v>0</v>
      </c>
      <c r="U1108" s="3">
        <v>100000</v>
      </c>
      <c r="V1108" s="6">
        <f>N1108/M1108</f>
        <v>5500</v>
      </c>
    </row>
    <row r="1109" spans="1:258" ht="25.2" customHeight="1" x14ac:dyDescent="0.3">
      <c r="A1109" s="46" t="s">
        <v>1900</v>
      </c>
      <c r="B1109" s="49" t="s">
        <v>287</v>
      </c>
      <c r="C1109" s="2">
        <f>D1109+L1109+N1109+P1109+R1109+S1109+T1109+U1109</f>
        <v>5880944.9800000004</v>
      </c>
      <c r="D1109" s="3">
        <f>SUM(E1109:J1109)</f>
        <v>1242800</v>
      </c>
      <c r="E1109" s="3">
        <f>700*478</f>
        <v>334600</v>
      </c>
      <c r="F1109" s="3">
        <f>1300*478</f>
        <v>621400</v>
      </c>
      <c r="G1109" s="3">
        <f>300*478</f>
        <v>143400</v>
      </c>
      <c r="H1109" s="3">
        <v>0</v>
      </c>
      <c r="I1109" s="3">
        <f>300*478</f>
        <v>143400</v>
      </c>
      <c r="J1109" s="3">
        <f>350*0</f>
        <v>0</v>
      </c>
      <c r="K1109" s="4">
        <v>0</v>
      </c>
      <c r="L1109" s="3">
        <v>0</v>
      </c>
      <c r="M1109" s="3">
        <v>432</v>
      </c>
      <c r="N1109" s="3">
        <f>M1109*6600</f>
        <v>2851200</v>
      </c>
      <c r="O1109" s="3">
        <v>0</v>
      </c>
      <c r="P1109" s="3">
        <v>0</v>
      </c>
      <c r="Q1109" s="3">
        <v>516.6</v>
      </c>
      <c r="R1109" s="3">
        <f>Q1109*3200</f>
        <v>1653120</v>
      </c>
      <c r="S1109" s="3">
        <v>0</v>
      </c>
      <c r="T1109" s="3">
        <v>0</v>
      </c>
      <c r="U1109" s="3">
        <v>133824.98000000001</v>
      </c>
      <c r="V1109" s="6">
        <f>N1109/M1109</f>
        <v>6600</v>
      </c>
    </row>
    <row r="1110" spans="1:258" ht="42.9" customHeight="1" x14ac:dyDescent="0.3">
      <c r="A1110" s="45" t="s">
        <v>916</v>
      </c>
      <c r="B1110" s="45"/>
      <c r="C1110" s="2">
        <f t="shared" ref="C1110:U1110" si="279">SUM(C1111)</f>
        <v>11346956.779999999</v>
      </c>
      <c r="D1110" s="2">
        <f t="shared" si="279"/>
        <v>11040300</v>
      </c>
      <c r="E1110" s="2">
        <f t="shared" si="279"/>
        <v>2862300</v>
      </c>
      <c r="F1110" s="2">
        <f t="shared" si="279"/>
        <v>5315700</v>
      </c>
      <c r="G1110" s="2">
        <f t="shared" si="279"/>
        <v>0</v>
      </c>
      <c r="H1110" s="2">
        <f t="shared" si="279"/>
        <v>1635600</v>
      </c>
      <c r="I1110" s="2">
        <f t="shared" si="279"/>
        <v>1226700</v>
      </c>
      <c r="J1110" s="2">
        <f t="shared" si="279"/>
        <v>0</v>
      </c>
      <c r="K1110" s="38">
        <f t="shared" si="279"/>
        <v>0</v>
      </c>
      <c r="L1110" s="2">
        <f t="shared" si="279"/>
        <v>0</v>
      </c>
      <c r="M1110" s="2">
        <f t="shared" si="279"/>
        <v>0</v>
      </c>
      <c r="N1110" s="2">
        <f t="shared" si="279"/>
        <v>0</v>
      </c>
      <c r="O1110" s="2">
        <f t="shared" si="279"/>
        <v>0</v>
      </c>
      <c r="P1110" s="2">
        <f t="shared" si="279"/>
        <v>0</v>
      </c>
      <c r="Q1110" s="2">
        <f t="shared" si="279"/>
        <v>0</v>
      </c>
      <c r="R1110" s="2">
        <f t="shared" si="279"/>
        <v>0</v>
      </c>
      <c r="S1110" s="2">
        <f t="shared" si="279"/>
        <v>0</v>
      </c>
      <c r="T1110" s="2">
        <f t="shared" si="279"/>
        <v>0</v>
      </c>
      <c r="U1110" s="2">
        <f t="shared" si="279"/>
        <v>306656.78000000003</v>
      </c>
    </row>
    <row r="1111" spans="1:258" ht="25.2" customHeight="1" x14ac:dyDescent="0.3">
      <c r="A1111" s="46" t="s">
        <v>1901</v>
      </c>
      <c r="B1111" s="49" t="s">
        <v>917</v>
      </c>
      <c r="C1111" s="2">
        <f>D1111+L1111+N1111+P1111+R1111+S1111+T1111+U1111</f>
        <v>11346956.779999999</v>
      </c>
      <c r="D1111" s="3">
        <f>SUM(E1111:J1111)</f>
        <v>11040300</v>
      </c>
      <c r="E1111" s="3">
        <f>700*4089</f>
        <v>2862300</v>
      </c>
      <c r="F1111" s="3">
        <f>1300*4089</f>
        <v>5315700</v>
      </c>
      <c r="G1111" s="3">
        <v>0</v>
      </c>
      <c r="H1111" s="3">
        <f>400*4089</f>
        <v>1635600</v>
      </c>
      <c r="I1111" s="3">
        <f>300*4089</f>
        <v>1226700</v>
      </c>
      <c r="J1111" s="3">
        <v>0</v>
      </c>
      <c r="K1111" s="4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0</v>
      </c>
      <c r="Q1111" s="3">
        <v>0</v>
      </c>
      <c r="R1111" s="3">
        <f>Q1111*3200</f>
        <v>0</v>
      </c>
      <c r="S1111" s="3">
        <v>0</v>
      </c>
      <c r="T1111" s="3">
        <v>0</v>
      </c>
      <c r="U1111" s="3">
        <v>306656.78000000003</v>
      </c>
      <c r="V1111" s="6" t="e">
        <f>N1111/M1111</f>
        <v>#DIV/0!</v>
      </c>
    </row>
    <row r="1112" spans="1:258" ht="45" customHeight="1" x14ac:dyDescent="0.3">
      <c r="A1112" s="45" t="s">
        <v>911</v>
      </c>
      <c r="B1112" s="45"/>
      <c r="C1112" s="2">
        <f t="shared" ref="C1112:U1112" si="280">SUM(C1113:C1114)</f>
        <v>8586600</v>
      </c>
      <c r="D1112" s="2">
        <f t="shared" si="280"/>
        <v>0</v>
      </c>
      <c r="E1112" s="2">
        <f t="shared" si="280"/>
        <v>0</v>
      </c>
      <c r="F1112" s="2">
        <f t="shared" si="280"/>
        <v>0</v>
      </c>
      <c r="G1112" s="2">
        <f t="shared" si="280"/>
        <v>0</v>
      </c>
      <c r="H1112" s="2">
        <f t="shared" si="280"/>
        <v>0</v>
      </c>
      <c r="I1112" s="2">
        <f t="shared" si="280"/>
        <v>0</v>
      </c>
      <c r="J1112" s="2">
        <f t="shared" si="280"/>
        <v>0</v>
      </c>
      <c r="K1112" s="38">
        <f t="shared" si="280"/>
        <v>0</v>
      </c>
      <c r="L1112" s="2">
        <f t="shared" si="280"/>
        <v>0</v>
      </c>
      <c r="M1112" s="2">
        <f t="shared" si="280"/>
        <v>1301</v>
      </c>
      <c r="N1112" s="2">
        <f t="shared" si="280"/>
        <v>8586600</v>
      </c>
      <c r="O1112" s="2">
        <f t="shared" si="280"/>
        <v>0</v>
      </c>
      <c r="P1112" s="2">
        <f t="shared" si="280"/>
        <v>0</v>
      </c>
      <c r="Q1112" s="2">
        <f t="shared" si="280"/>
        <v>0</v>
      </c>
      <c r="R1112" s="2">
        <f t="shared" si="280"/>
        <v>0</v>
      </c>
      <c r="S1112" s="2">
        <f t="shared" si="280"/>
        <v>0</v>
      </c>
      <c r="T1112" s="2">
        <f t="shared" si="280"/>
        <v>0</v>
      </c>
      <c r="U1112" s="2">
        <f t="shared" si="280"/>
        <v>0</v>
      </c>
    </row>
    <row r="1113" spans="1:258" ht="25.2" customHeight="1" x14ac:dyDescent="0.3">
      <c r="A1113" s="46" t="s">
        <v>1902</v>
      </c>
      <c r="B1113" s="49" t="s">
        <v>1190</v>
      </c>
      <c r="C1113" s="2">
        <f>D1113+L1113+N1113+P1113+R1113+S1113+T1113+U1113</f>
        <v>4342800</v>
      </c>
      <c r="D1113" s="3">
        <f>SUM(E1113:J1113)</f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4">
        <v>0</v>
      </c>
      <c r="L1113" s="3">
        <v>0</v>
      </c>
      <c r="M1113" s="3">
        <v>658</v>
      </c>
      <c r="N1113" s="3">
        <f>M1113*6600</f>
        <v>4342800</v>
      </c>
      <c r="O1113" s="32">
        <v>0</v>
      </c>
      <c r="P1113" s="32">
        <v>0</v>
      </c>
      <c r="Q1113" s="32">
        <v>0</v>
      </c>
      <c r="R1113" s="3">
        <f>Q1113*3200</f>
        <v>0</v>
      </c>
      <c r="S1113" s="32">
        <v>0</v>
      </c>
      <c r="T1113" s="32">
        <v>0</v>
      </c>
      <c r="U1113" s="32">
        <v>0</v>
      </c>
      <c r="V1113" s="6">
        <f>N1113/M1113</f>
        <v>6600</v>
      </c>
    </row>
    <row r="1114" spans="1:258" ht="25.2" customHeight="1" x14ac:dyDescent="0.3">
      <c r="A1114" s="46" t="s">
        <v>1903</v>
      </c>
      <c r="B1114" s="49" t="s">
        <v>1191</v>
      </c>
      <c r="C1114" s="2">
        <f>D1114+L1114+N1114+P1114+R1114+S1114+T1114+U1114</f>
        <v>4243800</v>
      </c>
      <c r="D1114" s="3">
        <f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32">
        <v>643</v>
      </c>
      <c r="N1114" s="3">
        <f>M1114*6600</f>
        <v>4243800</v>
      </c>
      <c r="O1114" s="32">
        <v>0</v>
      </c>
      <c r="P1114" s="32">
        <v>0</v>
      </c>
      <c r="Q1114" s="32">
        <v>0</v>
      </c>
      <c r="R1114" s="3">
        <f>Q1114*3200</f>
        <v>0</v>
      </c>
      <c r="S1114" s="32">
        <v>0</v>
      </c>
      <c r="T1114" s="32">
        <v>0</v>
      </c>
      <c r="U1114" s="32">
        <v>0</v>
      </c>
      <c r="V1114" s="6">
        <f>N1114/M1114</f>
        <v>6600</v>
      </c>
      <c r="W1114" s="59"/>
      <c r="X1114" s="59"/>
      <c r="Y1114" s="59"/>
      <c r="Z1114" s="59"/>
      <c r="AA1114" s="59"/>
      <c r="AB1114" s="59"/>
      <c r="AC1114" s="59"/>
      <c r="AD1114" s="59"/>
      <c r="AE1114" s="59"/>
      <c r="AF1114" s="59"/>
      <c r="AG1114" s="59"/>
      <c r="AH1114" s="59"/>
      <c r="AI1114" s="59"/>
      <c r="AJ1114" s="59"/>
      <c r="AK1114" s="59"/>
      <c r="AL1114" s="59"/>
      <c r="AM1114" s="59"/>
      <c r="AN1114" s="59"/>
      <c r="AO1114" s="59"/>
      <c r="AP1114" s="59"/>
      <c r="AQ1114" s="59"/>
      <c r="AR1114" s="59"/>
      <c r="AS1114" s="59"/>
      <c r="AT1114" s="59"/>
      <c r="AU1114" s="59"/>
      <c r="AV1114" s="59"/>
      <c r="AW1114" s="59"/>
      <c r="AX1114" s="59"/>
      <c r="AY1114" s="59"/>
      <c r="AZ1114" s="59"/>
      <c r="BA1114" s="59"/>
      <c r="BB1114" s="59"/>
      <c r="BC1114" s="59"/>
      <c r="BD1114" s="59"/>
      <c r="BE1114" s="59"/>
      <c r="BF1114" s="59"/>
      <c r="BG1114" s="59"/>
      <c r="BH1114" s="59"/>
      <c r="BI1114" s="59"/>
      <c r="BJ1114" s="59"/>
      <c r="BK1114" s="59"/>
      <c r="BL1114" s="59"/>
      <c r="BM1114" s="59"/>
      <c r="BN1114" s="59"/>
      <c r="BO1114" s="59"/>
      <c r="BP1114" s="59"/>
      <c r="BQ1114" s="59"/>
      <c r="BR1114" s="59"/>
      <c r="BS1114" s="59"/>
      <c r="BT1114" s="59"/>
      <c r="BU1114" s="59"/>
      <c r="BV1114" s="59"/>
      <c r="BW1114" s="59"/>
      <c r="BX1114" s="59"/>
      <c r="BY1114" s="59"/>
      <c r="BZ1114" s="59"/>
      <c r="CA1114" s="59"/>
      <c r="CB1114" s="59"/>
      <c r="CC1114" s="59"/>
      <c r="CD1114" s="59"/>
      <c r="CE1114" s="59"/>
      <c r="CF1114" s="59"/>
      <c r="CG1114" s="59"/>
      <c r="CH1114" s="59"/>
      <c r="CI1114" s="59"/>
      <c r="CJ1114" s="59"/>
      <c r="CK1114" s="59"/>
      <c r="CL1114" s="59"/>
      <c r="CM1114" s="59"/>
      <c r="CN1114" s="59"/>
      <c r="CO1114" s="59"/>
      <c r="CP1114" s="59"/>
      <c r="CQ1114" s="59"/>
      <c r="CR1114" s="59"/>
      <c r="CS1114" s="59"/>
      <c r="CT1114" s="59"/>
      <c r="CU1114" s="59"/>
      <c r="CV1114" s="59"/>
      <c r="CW1114" s="59"/>
      <c r="CX1114" s="59"/>
      <c r="CY1114" s="59"/>
      <c r="CZ1114" s="59"/>
      <c r="DA1114" s="59"/>
      <c r="DB1114" s="59"/>
      <c r="DC1114" s="59"/>
      <c r="DD1114" s="59"/>
      <c r="DE1114" s="59"/>
      <c r="DF1114" s="59"/>
      <c r="DG1114" s="59"/>
      <c r="DH1114" s="59"/>
      <c r="DI1114" s="59"/>
      <c r="DJ1114" s="59"/>
      <c r="DK1114" s="59"/>
      <c r="DL1114" s="59"/>
      <c r="DM1114" s="59"/>
      <c r="DN1114" s="59"/>
      <c r="DO1114" s="59"/>
      <c r="DP1114" s="59"/>
      <c r="DQ1114" s="59"/>
      <c r="DR1114" s="59"/>
      <c r="DS1114" s="59"/>
      <c r="DT1114" s="59"/>
      <c r="DU1114" s="59"/>
      <c r="DV1114" s="59"/>
      <c r="DW1114" s="59"/>
      <c r="DX1114" s="59"/>
      <c r="DY1114" s="59"/>
      <c r="DZ1114" s="59"/>
      <c r="EA1114" s="59"/>
      <c r="EB1114" s="59"/>
      <c r="EC1114" s="59"/>
      <c r="ED1114" s="59"/>
      <c r="EE1114" s="59"/>
      <c r="EF1114" s="59"/>
      <c r="EG1114" s="59"/>
      <c r="EH1114" s="59"/>
      <c r="EI1114" s="59"/>
      <c r="EJ1114" s="59"/>
      <c r="EK1114" s="59"/>
      <c r="EL1114" s="59"/>
      <c r="EM1114" s="59"/>
      <c r="EN1114" s="59"/>
      <c r="EO1114" s="59"/>
      <c r="EP1114" s="59"/>
      <c r="EQ1114" s="59"/>
      <c r="ER1114" s="59"/>
      <c r="ES1114" s="59"/>
      <c r="ET1114" s="59"/>
      <c r="EU1114" s="59"/>
      <c r="EV1114" s="59"/>
      <c r="EW1114" s="59"/>
      <c r="EX1114" s="59"/>
      <c r="EY1114" s="59"/>
      <c r="EZ1114" s="59"/>
      <c r="FA1114" s="59"/>
      <c r="FB1114" s="59"/>
      <c r="FC1114" s="59"/>
      <c r="FD1114" s="59"/>
      <c r="FE1114" s="59"/>
      <c r="FF1114" s="59"/>
      <c r="FG1114" s="59"/>
      <c r="FH1114" s="59"/>
      <c r="FI1114" s="59"/>
      <c r="FJ1114" s="59"/>
      <c r="FK1114" s="59"/>
      <c r="FL1114" s="59"/>
      <c r="FM1114" s="59"/>
      <c r="FN1114" s="59"/>
      <c r="FO1114" s="59"/>
      <c r="FP1114" s="59"/>
      <c r="FQ1114" s="59"/>
      <c r="FR1114" s="59"/>
      <c r="FS1114" s="59"/>
      <c r="FT1114" s="59"/>
      <c r="FU1114" s="59"/>
      <c r="FV1114" s="59"/>
      <c r="FW1114" s="59"/>
      <c r="FX1114" s="59"/>
      <c r="FY1114" s="59"/>
      <c r="FZ1114" s="59"/>
      <c r="GA1114" s="59"/>
      <c r="GB1114" s="59"/>
      <c r="GC1114" s="59"/>
      <c r="GD1114" s="59"/>
      <c r="GE1114" s="59"/>
      <c r="GF1114" s="59"/>
      <c r="GG1114" s="59"/>
      <c r="GH1114" s="59"/>
      <c r="GI1114" s="59"/>
      <c r="GJ1114" s="59"/>
      <c r="GK1114" s="59"/>
      <c r="GL1114" s="59"/>
      <c r="GM1114" s="59"/>
      <c r="GN1114" s="59"/>
      <c r="GO1114" s="59"/>
      <c r="GP1114" s="59"/>
      <c r="GQ1114" s="59"/>
      <c r="GR1114" s="59"/>
      <c r="GS1114" s="59"/>
      <c r="GT1114" s="59"/>
      <c r="GU1114" s="59"/>
      <c r="GV1114" s="59"/>
      <c r="GW1114" s="59"/>
      <c r="GX1114" s="59"/>
      <c r="GY1114" s="59"/>
      <c r="GZ1114" s="59"/>
      <c r="HA1114" s="59"/>
      <c r="HB1114" s="59"/>
      <c r="HC1114" s="59"/>
      <c r="HD1114" s="59"/>
      <c r="HE1114" s="59"/>
      <c r="HF1114" s="59"/>
      <c r="HG1114" s="59"/>
      <c r="HH1114" s="59"/>
      <c r="HI1114" s="59"/>
      <c r="HJ1114" s="59"/>
      <c r="HK1114" s="59"/>
      <c r="HL1114" s="59"/>
      <c r="HM1114" s="59"/>
      <c r="HN1114" s="59"/>
      <c r="HO1114" s="59"/>
      <c r="HP1114" s="59"/>
      <c r="HQ1114" s="59"/>
      <c r="HR1114" s="59"/>
      <c r="HS1114" s="59"/>
      <c r="HT1114" s="59"/>
      <c r="HU1114" s="59"/>
      <c r="HV1114" s="59"/>
      <c r="HW1114" s="59"/>
      <c r="HX1114" s="59"/>
      <c r="HY1114" s="59"/>
      <c r="HZ1114" s="59"/>
      <c r="IA1114" s="59"/>
      <c r="IB1114" s="59"/>
      <c r="IC1114" s="59"/>
      <c r="ID1114" s="59"/>
      <c r="IE1114" s="59"/>
      <c r="IF1114" s="59"/>
      <c r="IG1114" s="59"/>
      <c r="IH1114" s="59"/>
      <c r="II1114" s="59"/>
      <c r="IJ1114" s="59"/>
      <c r="IK1114" s="59"/>
      <c r="IL1114" s="59"/>
      <c r="IM1114" s="59"/>
      <c r="IN1114" s="59"/>
      <c r="IO1114" s="59"/>
      <c r="IP1114" s="59"/>
      <c r="IQ1114" s="59"/>
      <c r="IR1114" s="59"/>
      <c r="IS1114" s="59"/>
      <c r="IT1114" s="59"/>
      <c r="IU1114" s="59"/>
      <c r="IV1114" s="59"/>
      <c r="IW1114" s="59"/>
      <c r="IX1114" s="59"/>
    </row>
    <row r="1115" spans="1:258" ht="42.9" customHeight="1" x14ac:dyDescent="0.3">
      <c r="A1115" s="45" t="s">
        <v>1188</v>
      </c>
      <c r="B1115" s="45"/>
      <c r="C1115" s="2">
        <f t="shared" ref="C1115:U1115" si="281">SUM(C1116)</f>
        <v>4917250</v>
      </c>
      <c r="D1115" s="2">
        <f t="shared" si="281"/>
        <v>0</v>
      </c>
      <c r="E1115" s="2">
        <f t="shared" si="281"/>
        <v>0</v>
      </c>
      <c r="F1115" s="2">
        <f t="shared" si="281"/>
        <v>0</v>
      </c>
      <c r="G1115" s="2">
        <f t="shared" si="281"/>
        <v>0</v>
      </c>
      <c r="H1115" s="2">
        <f t="shared" si="281"/>
        <v>0</v>
      </c>
      <c r="I1115" s="2">
        <f t="shared" si="281"/>
        <v>0</v>
      </c>
      <c r="J1115" s="2">
        <f t="shared" si="281"/>
        <v>0</v>
      </c>
      <c r="K1115" s="38">
        <f t="shared" si="281"/>
        <v>0</v>
      </c>
      <c r="L1115" s="2">
        <f t="shared" si="281"/>
        <v>0</v>
      </c>
      <c r="M1115" s="2">
        <f t="shared" si="281"/>
        <v>1105</v>
      </c>
      <c r="N1115" s="2">
        <f t="shared" si="281"/>
        <v>4917250</v>
      </c>
      <c r="O1115" s="2">
        <f t="shared" si="281"/>
        <v>0</v>
      </c>
      <c r="P1115" s="2">
        <f t="shared" si="281"/>
        <v>0</v>
      </c>
      <c r="Q1115" s="2">
        <f t="shared" si="281"/>
        <v>0</v>
      </c>
      <c r="R1115" s="2">
        <f t="shared" si="281"/>
        <v>0</v>
      </c>
      <c r="S1115" s="2">
        <f t="shared" si="281"/>
        <v>0</v>
      </c>
      <c r="T1115" s="2">
        <f t="shared" si="281"/>
        <v>0</v>
      </c>
      <c r="U1115" s="2">
        <f t="shared" si="281"/>
        <v>0</v>
      </c>
    </row>
    <row r="1116" spans="1:258" ht="25.2" customHeight="1" x14ac:dyDescent="0.3">
      <c r="A1116" s="46" t="s">
        <v>1904</v>
      </c>
      <c r="B1116" s="49" t="s">
        <v>1186</v>
      </c>
      <c r="C1116" s="2">
        <f>D1116+L1116+N1116+P1116+R1116+S1116+T1116+U1116</f>
        <v>4917250</v>
      </c>
      <c r="D1116" s="3">
        <f>SUM(E1116:J1116)</f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4">
        <v>0</v>
      </c>
      <c r="L1116" s="3">
        <v>0</v>
      </c>
      <c r="M1116" s="3">
        <v>1105</v>
      </c>
      <c r="N1116" s="3">
        <f>M1116*4450</f>
        <v>4917250</v>
      </c>
      <c r="O1116" s="3">
        <v>0</v>
      </c>
      <c r="P1116" s="3">
        <v>0</v>
      </c>
      <c r="Q1116" s="3">
        <v>0</v>
      </c>
      <c r="R1116" s="3">
        <f>Q1116*3200</f>
        <v>0</v>
      </c>
      <c r="S1116" s="3">
        <v>0</v>
      </c>
      <c r="T1116" s="3">
        <v>0</v>
      </c>
      <c r="U1116" s="3">
        <v>0</v>
      </c>
      <c r="V1116" s="6">
        <f>N1116/M1116</f>
        <v>4450</v>
      </c>
    </row>
    <row r="1117" spans="1:258" ht="42.9" customHeight="1" x14ac:dyDescent="0.3">
      <c r="A1117" s="45" t="s">
        <v>269</v>
      </c>
      <c r="B1117" s="45"/>
      <c r="C1117" s="2">
        <f t="shared" ref="C1117:U1117" si="282">SUM(C1118:C1120)</f>
        <v>11179990</v>
      </c>
      <c r="D1117" s="2">
        <f t="shared" si="282"/>
        <v>779090</v>
      </c>
      <c r="E1117" s="2">
        <f t="shared" si="282"/>
        <v>419509.99999999994</v>
      </c>
      <c r="F1117" s="2">
        <f t="shared" si="282"/>
        <v>0</v>
      </c>
      <c r="G1117" s="2">
        <f t="shared" si="282"/>
        <v>179790</v>
      </c>
      <c r="H1117" s="2">
        <f t="shared" si="282"/>
        <v>0</v>
      </c>
      <c r="I1117" s="2">
        <f t="shared" si="282"/>
        <v>179790</v>
      </c>
      <c r="J1117" s="2">
        <f t="shared" si="282"/>
        <v>0</v>
      </c>
      <c r="K1117" s="38">
        <f t="shared" si="282"/>
        <v>0</v>
      </c>
      <c r="L1117" s="2">
        <f t="shared" si="282"/>
        <v>0</v>
      </c>
      <c r="M1117" s="2">
        <f t="shared" si="282"/>
        <v>1544</v>
      </c>
      <c r="N1117" s="2">
        <f t="shared" si="282"/>
        <v>8620900</v>
      </c>
      <c r="O1117" s="2">
        <f t="shared" si="282"/>
        <v>0</v>
      </c>
      <c r="P1117" s="2">
        <f t="shared" si="282"/>
        <v>0</v>
      </c>
      <c r="Q1117" s="2">
        <f t="shared" si="282"/>
        <v>525</v>
      </c>
      <c r="R1117" s="2">
        <f t="shared" si="282"/>
        <v>1680000</v>
      </c>
      <c r="S1117" s="2">
        <f t="shared" si="282"/>
        <v>0</v>
      </c>
      <c r="T1117" s="2">
        <f t="shared" si="282"/>
        <v>0</v>
      </c>
      <c r="U1117" s="2">
        <f t="shared" si="282"/>
        <v>100000</v>
      </c>
    </row>
    <row r="1118" spans="1:258" ht="25.2" customHeight="1" x14ac:dyDescent="0.3">
      <c r="A1118" s="46" t="s">
        <v>1905</v>
      </c>
      <c r="B1118" s="49" t="s">
        <v>291</v>
      </c>
      <c r="C1118" s="2">
        <f>D1118+L1118+N1118+P1118+R1118+S1118+T1118+U1118</f>
        <v>2686200</v>
      </c>
      <c r="D1118" s="3">
        <f>SUM(E1118:J1118)</f>
        <v>0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4">
        <v>0</v>
      </c>
      <c r="L1118" s="3">
        <v>0</v>
      </c>
      <c r="M1118" s="3">
        <v>407</v>
      </c>
      <c r="N1118" s="3">
        <f>M1118*6600</f>
        <v>2686200</v>
      </c>
      <c r="O1118" s="3">
        <v>0</v>
      </c>
      <c r="P1118" s="3">
        <v>0</v>
      </c>
      <c r="Q1118" s="3">
        <v>0</v>
      </c>
      <c r="R1118" s="3">
        <f>Q1118*3200</f>
        <v>0</v>
      </c>
      <c r="S1118" s="3">
        <v>0</v>
      </c>
      <c r="T1118" s="3">
        <v>0</v>
      </c>
      <c r="U1118" s="3">
        <v>0</v>
      </c>
      <c r="V1118" s="6">
        <f>N1118/M1118</f>
        <v>6600</v>
      </c>
    </row>
    <row r="1119" spans="1:258" ht="25.2" customHeight="1" x14ac:dyDescent="0.3">
      <c r="A1119" s="46" t="s">
        <v>1906</v>
      </c>
      <c r="B1119" s="49" t="s">
        <v>794</v>
      </c>
      <c r="C1119" s="2">
        <f>D1119+L1119+N1119+P1119+R1119+S1119+T1119+U1119</f>
        <v>5245290</v>
      </c>
      <c r="D1119" s="3">
        <f>SUM(E1119:J1119)</f>
        <v>779090</v>
      </c>
      <c r="E1119" s="3">
        <f>700*599.3</f>
        <v>419509.99999999994</v>
      </c>
      <c r="F1119" s="3">
        <v>0</v>
      </c>
      <c r="G1119" s="3">
        <f>300*599.3</f>
        <v>179790</v>
      </c>
      <c r="H1119" s="3">
        <v>0</v>
      </c>
      <c r="I1119" s="3">
        <f>300*599.3</f>
        <v>179790</v>
      </c>
      <c r="J1119" s="3">
        <v>0</v>
      </c>
      <c r="K1119" s="4">
        <v>0</v>
      </c>
      <c r="L1119" s="3">
        <v>0</v>
      </c>
      <c r="M1119" s="3">
        <v>407</v>
      </c>
      <c r="N1119" s="3">
        <f>M1119*6600</f>
        <v>2686200</v>
      </c>
      <c r="O1119" s="3">
        <v>0</v>
      </c>
      <c r="P1119" s="3">
        <v>0</v>
      </c>
      <c r="Q1119" s="3">
        <v>525</v>
      </c>
      <c r="R1119" s="3">
        <f>Q1119*3200</f>
        <v>1680000</v>
      </c>
      <c r="S1119" s="3">
        <v>0</v>
      </c>
      <c r="T1119" s="3">
        <v>0</v>
      </c>
      <c r="U1119" s="3">
        <v>100000</v>
      </c>
      <c r="V1119" s="6">
        <f>N1119/M1119</f>
        <v>6600</v>
      </c>
    </row>
    <row r="1120" spans="1:258" ht="25.2" customHeight="1" x14ac:dyDescent="0.3">
      <c r="A1120" s="46" t="s">
        <v>1907</v>
      </c>
      <c r="B1120" s="49" t="s">
        <v>795</v>
      </c>
      <c r="C1120" s="2">
        <f>D1120+L1120+N1120+P1120+R1120+S1120+T1120+U1120</f>
        <v>3248500</v>
      </c>
      <c r="D1120" s="3">
        <f>SUM(E1120:J1120)</f>
        <v>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4">
        <v>0</v>
      </c>
      <c r="L1120" s="3">
        <v>0</v>
      </c>
      <c r="M1120" s="3">
        <v>730</v>
      </c>
      <c r="N1120" s="3">
        <f>M1120*4450</f>
        <v>3248500</v>
      </c>
      <c r="O1120" s="3">
        <v>0</v>
      </c>
      <c r="P1120" s="3">
        <v>0</v>
      </c>
      <c r="Q1120" s="3">
        <v>0</v>
      </c>
      <c r="R1120" s="3">
        <f>Q1120*3200</f>
        <v>0</v>
      </c>
      <c r="S1120" s="3">
        <v>0</v>
      </c>
      <c r="T1120" s="3">
        <v>0</v>
      </c>
      <c r="U1120" s="3">
        <v>0</v>
      </c>
      <c r="V1120" s="6">
        <f>N1120/M1120</f>
        <v>4450</v>
      </c>
    </row>
    <row r="1121" spans="1:22" ht="42.9" customHeight="1" x14ac:dyDescent="0.3">
      <c r="A1121" s="45" t="s">
        <v>274</v>
      </c>
      <c r="B1121" s="45"/>
      <c r="C1121" s="2">
        <f t="shared" ref="C1121:U1121" si="283">SUM(C1122:C1126)</f>
        <v>18601785.370000001</v>
      </c>
      <c r="D1121" s="2">
        <f t="shared" si="283"/>
        <v>1676600</v>
      </c>
      <c r="E1121" s="2">
        <f t="shared" si="283"/>
        <v>705320</v>
      </c>
      <c r="F1121" s="2">
        <f t="shared" si="283"/>
        <v>664560</v>
      </c>
      <c r="G1121" s="2">
        <f t="shared" si="283"/>
        <v>153360</v>
      </c>
      <c r="H1121" s="2">
        <f t="shared" si="283"/>
        <v>0</v>
      </c>
      <c r="I1121" s="2">
        <f t="shared" si="283"/>
        <v>153360</v>
      </c>
      <c r="J1121" s="2">
        <f t="shared" si="283"/>
        <v>0</v>
      </c>
      <c r="K1121" s="38">
        <f t="shared" si="283"/>
        <v>0</v>
      </c>
      <c r="L1121" s="2">
        <f t="shared" si="283"/>
        <v>0</v>
      </c>
      <c r="M1121" s="2">
        <f t="shared" si="283"/>
        <v>1519</v>
      </c>
      <c r="N1121" s="2">
        <f t="shared" si="283"/>
        <v>10025400</v>
      </c>
      <c r="O1121" s="2">
        <f t="shared" si="283"/>
        <v>0</v>
      </c>
      <c r="P1121" s="2">
        <f t="shared" si="283"/>
        <v>0</v>
      </c>
      <c r="Q1121" s="2">
        <f t="shared" si="283"/>
        <v>2109.1</v>
      </c>
      <c r="R1121" s="2">
        <f t="shared" si="283"/>
        <v>6749120</v>
      </c>
      <c r="S1121" s="2">
        <f t="shared" si="283"/>
        <v>0</v>
      </c>
      <c r="T1121" s="2">
        <f t="shared" si="283"/>
        <v>0</v>
      </c>
      <c r="U1121" s="2">
        <f t="shared" si="283"/>
        <v>150665.37</v>
      </c>
    </row>
    <row r="1122" spans="1:22" ht="27" customHeight="1" x14ac:dyDescent="0.3">
      <c r="A1122" s="46" t="s">
        <v>1908</v>
      </c>
      <c r="B1122" s="49" t="s">
        <v>277</v>
      </c>
      <c r="C1122" s="2">
        <f>D1122+L1122+N1122+P1122+R1122+S1122+T1122+U1122</f>
        <v>3077960</v>
      </c>
      <c r="D1122" s="3">
        <f>SUM(E1122:J1122)</f>
        <v>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4">
        <v>0</v>
      </c>
      <c r="L1122" s="3">
        <v>0</v>
      </c>
      <c r="M1122" s="3">
        <v>268.2</v>
      </c>
      <c r="N1122" s="3">
        <f>M1122*6600</f>
        <v>1770120</v>
      </c>
      <c r="O1122" s="3">
        <v>0</v>
      </c>
      <c r="P1122" s="3">
        <v>0</v>
      </c>
      <c r="Q1122" s="3">
        <v>408.7</v>
      </c>
      <c r="R1122" s="3">
        <f>Q1122*3200</f>
        <v>1307840</v>
      </c>
      <c r="S1122" s="3">
        <v>0</v>
      </c>
      <c r="T1122" s="3">
        <v>0</v>
      </c>
      <c r="U1122" s="3">
        <v>0</v>
      </c>
      <c r="V1122" s="6">
        <f>N1122/M1122</f>
        <v>6600</v>
      </c>
    </row>
    <row r="1123" spans="1:22" ht="27" customHeight="1" x14ac:dyDescent="0.3">
      <c r="A1123" s="46" t="s">
        <v>1909</v>
      </c>
      <c r="B1123" s="49" t="s">
        <v>278</v>
      </c>
      <c r="C1123" s="2">
        <f>D1123+L1123+N1123+P1123+R1123+S1123+T1123+U1123</f>
        <v>4859640</v>
      </c>
      <c r="D1123" s="3">
        <f>SUM(E1123:J1123)</f>
        <v>347480</v>
      </c>
      <c r="E1123" s="3">
        <f>700*496.4</f>
        <v>347480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396.8</v>
      </c>
      <c r="N1123" s="3">
        <f>M1123*6600</f>
        <v>2618880</v>
      </c>
      <c r="O1123" s="3">
        <v>0</v>
      </c>
      <c r="P1123" s="3">
        <v>0</v>
      </c>
      <c r="Q1123" s="3">
        <v>560.4</v>
      </c>
      <c r="R1123" s="3">
        <f>Q1123*3200</f>
        <v>1793280</v>
      </c>
      <c r="S1123" s="3">
        <v>0</v>
      </c>
      <c r="T1123" s="3">
        <v>0</v>
      </c>
      <c r="U1123" s="3">
        <v>100000</v>
      </c>
      <c r="V1123" s="6">
        <f>N1123/M1123</f>
        <v>6600</v>
      </c>
    </row>
    <row r="1124" spans="1:22" ht="27" customHeight="1" x14ac:dyDescent="0.3">
      <c r="A1124" s="46" t="s">
        <v>1910</v>
      </c>
      <c r="B1124" s="49" t="s">
        <v>279</v>
      </c>
      <c r="C1124" s="2">
        <f>D1124+L1124+N1124+P1124+R1124+S1124+T1124+U1124</f>
        <v>4683265.37</v>
      </c>
      <c r="D1124" s="3">
        <f>SUM(E1124:J1124)</f>
        <v>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4">
        <v>0</v>
      </c>
      <c r="L1124" s="3">
        <v>0</v>
      </c>
      <c r="M1124" s="3">
        <v>427</v>
      </c>
      <c r="N1124" s="3">
        <f>M1124*6600</f>
        <v>2818200</v>
      </c>
      <c r="O1124" s="3">
        <v>0</v>
      </c>
      <c r="P1124" s="3">
        <v>0</v>
      </c>
      <c r="Q1124" s="3">
        <v>567</v>
      </c>
      <c r="R1124" s="3">
        <f>Q1124*3200</f>
        <v>1814400</v>
      </c>
      <c r="S1124" s="3">
        <v>0</v>
      </c>
      <c r="T1124" s="3">
        <v>0</v>
      </c>
      <c r="U1124" s="3">
        <v>50665.37</v>
      </c>
      <c r="V1124" s="6">
        <f>N1124/M1124</f>
        <v>6600</v>
      </c>
    </row>
    <row r="1125" spans="1:22" ht="27" customHeight="1" x14ac:dyDescent="0.3">
      <c r="A1125" s="46" t="s">
        <v>1911</v>
      </c>
      <c r="B1125" s="49" t="s">
        <v>280</v>
      </c>
      <c r="C1125" s="2">
        <f>D1125+L1125+N1125+P1125+R1125+S1125+T1125+U1125</f>
        <v>4651800</v>
      </c>
      <c r="D1125" s="3">
        <f>SUM(E1125:J1125)</f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4">
        <v>0</v>
      </c>
      <c r="L1125" s="3">
        <v>0</v>
      </c>
      <c r="M1125" s="3">
        <v>427</v>
      </c>
      <c r="N1125" s="3">
        <f>M1125*6600</f>
        <v>2818200</v>
      </c>
      <c r="O1125" s="3">
        <v>0</v>
      </c>
      <c r="P1125" s="3">
        <v>0</v>
      </c>
      <c r="Q1125" s="3">
        <v>573</v>
      </c>
      <c r="R1125" s="3">
        <f>Q1125*3200</f>
        <v>1833600</v>
      </c>
      <c r="S1125" s="3">
        <v>0</v>
      </c>
      <c r="T1125" s="3">
        <v>0</v>
      </c>
      <c r="U1125" s="3">
        <v>0</v>
      </c>
      <c r="V1125" s="6">
        <f>N1125/M1125</f>
        <v>6600</v>
      </c>
    </row>
    <row r="1126" spans="1:22" ht="27" customHeight="1" x14ac:dyDescent="0.3">
      <c r="A1126" s="46" t="s">
        <v>1912</v>
      </c>
      <c r="B1126" s="49" t="s">
        <v>281</v>
      </c>
      <c r="C1126" s="2">
        <f>D1126+L1126+N1126+P1126+R1126+S1126+T1126+U1126</f>
        <v>1329120</v>
      </c>
      <c r="D1126" s="3">
        <f>SUM(E1126:J1126)</f>
        <v>1329120</v>
      </c>
      <c r="E1126" s="3">
        <f>700*511.2</f>
        <v>357840</v>
      </c>
      <c r="F1126" s="3">
        <f>1300*511.2</f>
        <v>664560</v>
      </c>
      <c r="G1126" s="3">
        <f>300*511.2</f>
        <v>153360</v>
      </c>
      <c r="H1126" s="3">
        <f>400*0</f>
        <v>0</v>
      </c>
      <c r="I1126" s="3">
        <f>300*511.2</f>
        <v>153360</v>
      </c>
      <c r="J1126" s="3">
        <v>0</v>
      </c>
      <c r="K1126" s="4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6" t="e">
        <f>N1126/M1126</f>
        <v>#DIV/0!</v>
      </c>
    </row>
    <row r="1127" spans="1:22" ht="45" customHeight="1" x14ac:dyDescent="0.3">
      <c r="A1127" s="60" t="s">
        <v>292</v>
      </c>
      <c r="B1127" s="61"/>
      <c r="C1127" s="2">
        <f t="shared" ref="C1127:U1127" si="284">SUM(C1128)</f>
        <v>4433508</v>
      </c>
      <c r="D1127" s="2">
        <f t="shared" si="284"/>
        <v>368368</v>
      </c>
      <c r="E1127" s="2">
        <f t="shared" si="284"/>
        <v>368368</v>
      </c>
      <c r="F1127" s="2">
        <f t="shared" si="284"/>
        <v>0</v>
      </c>
      <c r="G1127" s="2">
        <f t="shared" si="284"/>
        <v>0</v>
      </c>
      <c r="H1127" s="2">
        <f t="shared" si="284"/>
        <v>0</v>
      </c>
      <c r="I1127" s="2">
        <f t="shared" si="284"/>
        <v>0</v>
      </c>
      <c r="J1127" s="2">
        <f t="shared" si="284"/>
        <v>0</v>
      </c>
      <c r="K1127" s="38">
        <f t="shared" si="284"/>
        <v>0</v>
      </c>
      <c r="L1127" s="2">
        <f t="shared" si="284"/>
        <v>0</v>
      </c>
      <c r="M1127" s="2">
        <f t="shared" si="284"/>
        <v>355.2</v>
      </c>
      <c r="N1127" s="2">
        <f t="shared" si="284"/>
        <v>2344320</v>
      </c>
      <c r="O1127" s="2">
        <f t="shared" si="284"/>
        <v>0</v>
      </c>
      <c r="P1127" s="2">
        <f t="shared" si="284"/>
        <v>0</v>
      </c>
      <c r="Q1127" s="2">
        <f t="shared" si="284"/>
        <v>428.4</v>
      </c>
      <c r="R1127" s="2">
        <f t="shared" si="284"/>
        <v>1370880</v>
      </c>
      <c r="S1127" s="2">
        <f t="shared" si="284"/>
        <v>149940</v>
      </c>
      <c r="T1127" s="2">
        <f t="shared" si="284"/>
        <v>0</v>
      </c>
      <c r="U1127" s="2">
        <f t="shared" si="284"/>
        <v>200000</v>
      </c>
    </row>
    <row r="1128" spans="1:22" ht="24.6" customHeight="1" x14ac:dyDescent="0.3">
      <c r="A1128" s="34" t="s">
        <v>1913</v>
      </c>
      <c r="B1128" s="49" t="s">
        <v>296</v>
      </c>
      <c r="C1128" s="2">
        <f>D1128+L1128+N1128+P1128+R1128+S1128+T1128+U1128</f>
        <v>4433508</v>
      </c>
      <c r="D1128" s="3">
        <f>SUM(E1128:J1128)</f>
        <v>368368</v>
      </c>
      <c r="E1128" s="32">
        <f>526.24*700</f>
        <v>368368</v>
      </c>
      <c r="F1128" s="32">
        <v>0</v>
      </c>
      <c r="G1128" s="32">
        <v>0</v>
      </c>
      <c r="H1128" s="32">
        <v>0</v>
      </c>
      <c r="I1128" s="32">
        <v>0</v>
      </c>
      <c r="J1128" s="32">
        <v>0</v>
      </c>
      <c r="K1128" s="33">
        <v>0</v>
      </c>
      <c r="L1128" s="32">
        <v>0</v>
      </c>
      <c r="M1128" s="32">
        <v>355.2</v>
      </c>
      <c r="N1128" s="3">
        <f>M1128*6600</f>
        <v>2344320</v>
      </c>
      <c r="O1128" s="32">
        <v>0</v>
      </c>
      <c r="P1128" s="32">
        <v>0</v>
      </c>
      <c r="Q1128" s="32">
        <v>428.4</v>
      </c>
      <c r="R1128" s="3">
        <f>Q1128*3200</f>
        <v>1370880</v>
      </c>
      <c r="S1128" s="32">
        <v>149940</v>
      </c>
      <c r="T1128" s="32">
        <v>0</v>
      </c>
      <c r="U1128" s="32">
        <v>200000</v>
      </c>
      <c r="V1128" s="6">
        <f>N1128/M1128</f>
        <v>6600</v>
      </c>
    </row>
    <row r="1129" spans="1:22" ht="42.9" customHeight="1" x14ac:dyDescent="0.3">
      <c r="A1129" s="45" t="s">
        <v>297</v>
      </c>
      <c r="B1129" s="45"/>
      <c r="C1129" s="2">
        <f t="shared" ref="C1129:U1129" si="285">SUM(C1130:C1133)</f>
        <v>12100600</v>
      </c>
      <c r="D1129" s="2">
        <f t="shared" si="285"/>
        <v>603050</v>
      </c>
      <c r="E1129" s="2">
        <f t="shared" si="285"/>
        <v>603050</v>
      </c>
      <c r="F1129" s="2">
        <f t="shared" si="285"/>
        <v>0</v>
      </c>
      <c r="G1129" s="2">
        <f t="shared" si="285"/>
        <v>0</v>
      </c>
      <c r="H1129" s="2">
        <f t="shared" si="285"/>
        <v>0</v>
      </c>
      <c r="I1129" s="2">
        <f t="shared" si="285"/>
        <v>0</v>
      </c>
      <c r="J1129" s="2">
        <f t="shared" si="285"/>
        <v>0</v>
      </c>
      <c r="K1129" s="38">
        <f t="shared" si="285"/>
        <v>0</v>
      </c>
      <c r="L1129" s="2">
        <f t="shared" si="285"/>
        <v>0</v>
      </c>
      <c r="M1129" s="2">
        <f t="shared" si="285"/>
        <v>984</v>
      </c>
      <c r="N1129" s="2">
        <f t="shared" si="285"/>
        <v>6494400</v>
      </c>
      <c r="O1129" s="2">
        <f t="shared" si="285"/>
        <v>0</v>
      </c>
      <c r="P1129" s="2">
        <f t="shared" si="285"/>
        <v>0</v>
      </c>
      <c r="Q1129" s="2">
        <f t="shared" si="285"/>
        <v>1291</v>
      </c>
      <c r="R1129" s="2">
        <f t="shared" si="285"/>
        <v>4131200</v>
      </c>
      <c r="S1129" s="2">
        <f t="shared" si="285"/>
        <v>271950</v>
      </c>
      <c r="T1129" s="2">
        <f t="shared" si="285"/>
        <v>0</v>
      </c>
      <c r="U1129" s="2">
        <f t="shared" si="285"/>
        <v>600000</v>
      </c>
    </row>
    <row r="1130" spans="1:22" ht="25.2" customHeight="1" x14ac:dyDescent="0.3">
      <c r="A1130" s="34" t="s">
        <v>1914</v>
      </c>
      <c r="B1130" s="49" t="s">
        <v>298</v>
      </c>
      <c r="C1130" s="2">
        <f>D1130+L1130+N1130+P1130+R1130+S1130+T1130+U1130</f>
        <v>3683600</v>
      </c>
      <c r="D1130" s="3">
        <f>SUM(E1130:J1130)</f>
        <v>0</v>
      </c>
      <c r="E1130" s="32">
        <v>0</v>
      </c>
      <c r="F1130" s="32">
        <v>0</v>
      </c>
      <c r="G1130" s="32">
        <v>0</v>
      </c>
      <c r="H1130" s="32">
        <v>0</v>
      </c>
      <c r="I1130" s="32">
        <v>0</v>
      </c>
      <c r="J1130" s="32">
        <v>0</v>
      </c>
      <c r="K1130" s="33">
        <v>0</v>
      </c>
      <c r="L1130" s="32">
        <v>0</v>
      </c>
      <c r="M1130" s="32">
        <v>334</v>
      </c>
      <c r="N1130" s="3">
        <f>M1130*6600</f>
        <v>2204400</v>
      </c>
      <c r="O1130" s="32">
        <v>0</v>
      </c>
      <c r="P1130" s="32">
        <v>0</v>
      </c>
      <c r="Q1130" s="32">
        <v>431</v>
      </c>
      <c r="R1130" s="3">
        <f>Q1130*3200</f>
        <v>1379200</v>
      </c>
      <c r="S1130" s="32">
        <v>0</v>
      </c>
      <c r="T1130" s="32">
        <v>0</v>
      </c>
      <c r="U1130" s="3">
        <v>100000</v>
      </c>
      <c r="V1130" s="6">
        <f>N1130/M1130</f>
        <v>6600</v>
      </c>
    </row>
    <row r="1131" spans="1:22" ht="24.6" customHeight="1" x14ac:dyDescent="0.3">
      <c r="A1131" s="34" t="s">
        <v>1915</v>
      </c>
      <c r="B1131" s="49" t="s">
        <v>300</v>
      </c>
      <c r="C1131" s="2">
        <f>D1131+L1131+N1131+P1131+R1131+S1131+T1131+U1131</f>
        <v>2743100</v>
      </c>
      <c r="D1131" s="3">
        <f>SUM(E1131:J1131)</f>
        <v>215600</v>
      </c>
      <c r="E1131" s="32">
        <f>308*700</f>
        <v>215600</v>
      </c>
      <c r="F1131" s="32">
        <v>0</v>
      </c>
      <c r="G1131" s="32">
        <v>0</v>
      </c>
      <c r="H1131" s="32">
        <v>0</v>
      </c>
      <c r="I1131" s="32">
        <v>0</v>
      </c>
      <c r="J1131" s="32">
        <v>0</v>
      </c>
      <c r="K1131" s="33">
        <v>0</v>
      </c>
      <c r="L1131" s="32">
        <v>0</v>
      </c>
      <c r="M1131" s="32">
        <v>200</v>
      </c>
      <c r="N1131" s="3">
        <f>M1131*6600</f>
        <v>1320000</v>
      </c>
      <c r="O1131" s="32">
        <v>0</v>
      </c>
      <c r="P1131" s="32">
        <v>0</v>
      </c>
      <c r="Q1131" s="32">
        <v>310</v>
      </c>
      <c r="R1131" s="3">
        <f>Q1131*3200</f>
        <v>992000</v>
      </c>
      <c r="S1131" s="32">
        <v>115500</v>
      </c>
      <c r="T1131" s="32">
        <v>0</v>
      </c>
      <c r="U1131" s="32">
        <v>100000</v>
      </c>
      <c r="V1131" s="6">
        <f>N1131/M1131</f>
        <v>6600</v>
      </c>
    </row>
    <row r="1132" spans="1:22" ht="25.2" customHeight="1" x14ac:dyDescent="0.3">
      <c r="A1132" s="34" t="s">
        <v>1916</v>
      </c>
      <c r="B1132" s="49" t="s">
        <v>301</v>
      </c>
      <c r="C1132" s="2">
        <f>D1132+L1132+N1132+P1132+R1132+S1132+T1132+U1132</f>
        <v>5373900</v>
      </c>
      <c r="D1132" s="3">
        <f>SUM(E1132:J1132)</f>
        <v>387450</v>
      </c>
      <c r="E1132" s="3">
        <f>553.5*700</f>
        <v>387450</v>
      </c>
      <c r="F1132" s="32">
        <v>0</v>
      </c>
      <c r="G1132" s="32">
        <v>0</v>
      </c>
      <c r="H1132" s="32">
        <v>0</v>
      </c>
      <c r="I1132" s="32">
        <v>0</v>
      </c>
      <c r="J1132" s="32">
        <v>0</v>
      </c>
      <c r="K1132" s="4">
        <v>0</v>
      </c>
      <c r="L1132" s="3">
        <v>0</v>
      </c>
      <c r="M1132" s="32">
        <v>450</v>
      </c>
      <c r="N1132" s="3">
        <f>M1132*6600</f>
        <v>2970000</v>
      </c>
      <c r="O1132" s="3">
        <v>0</v>
      </c>
      <c r="P1132" s="3">
        <v>0</v>
      </c>
      <c r="Q1132" s="3">
        <v>550</v>
      </c>
      <c r="R1132" s="3">
        <f>Q1132*3200</f>
        <v>1760000</v>
      </c>
      <c r="S1132" s="3">
        <v>156450</v>
      </c>
      <c r="T1132" s="3">
        <v>0</v>
      </c>
      <c r="U1132" s="3">
        <v>100000</v>
      </c>
      <c r="V1132" s="6">
        <f>N1132/M1132</f>
        <v>6600</v>
      </c>
    </row>
    <row r="1133" spans="1:22" ht="25.2" customHeight="1" x14ac:dyDescent="0.3">
      <c r="A1133" s="34" t="s">
        <v>1917</v>
      </c>
      <c r="B1133" s="49" t="s">
        <v>302</v>
      </c>
      <c r="C1133" s="2">
        <f>D1133+L1133+N1133+P1133+R1133+S1133+T1133+U1133</f>
        <v>300000</v>
      </c>
      <c r="D1133" s="3">
        <f>SUM(E1133:J1133)</f>
        <v>0</v>
      </c>
      <c r="E1133" s="32">
        <v>0</v>
      </c>
      <c r="F1133" s="32">
        <v>0</v>
      </c>
      <c r="G1133" s="32">
        <v>0</v>
      </c>
      <c r="H1133" s="32">
        <v>0</v>
      </c>
      <c r="I1133" s="32">
        <v>0</v>
      </c>
      <c r="J1133" s="32">
        <v>0</v>
      </c>
      <c r="K1133" s="33">
        <v>0</v>
      </c>
      <c r="L1133" s="32">
        <v>0</v>
      </c>
      <c r="M1133" s="32">
        <v>0</v>
      </c>
      <c r="N1133" s="3">
        <v>0</v>
      </c>
      <c r="O1133" s="32">
        <v>0</v>
      </c>
      <c r="P1133" s="32">
        <v>0</v>
      </c>
      <c r="Q1133" s="32">
        <v>0</v>
      </c>
      <c r="R1133" s="3">
        <v>0</v>
      </c>
      <c r="S1133" s="32">
        <v>0</v>
      </c>
      <c r="T1133" s="32">
        <v>0</v>
      </c>
      <c r="U1133" s="32">
        <v>300000</v>
      </c>
      <c r="V1133" s="6" t="e">
        <f>N1133/M1133</f>
        <v>#DIV/0!</v>
      </c>
    </row>
    <row r="1134" spans="1:22" ht="42.9" customHeight="1" x14ac:dyDescent="0.3">
      <c r="A1134" s="45" t="s">
        <v>303</v>
      </c>
      <c r="B1134" s="45"/>
      <c r="C1134" s="2">
        <f>SUM(C1135)</f>
        <v>4372000</v>
      </c>
      <c r="D1134" s="2">
        <f t="shared" ref="D1134:U1134" si="286">SUM(D1135)</f>
        <v>0</v>
      </c>
      <c r="E1134" s="2">
        <f t="shared" si="286"/>
        <v>0</v>
      </c>
      <c r="F1134" s="2">
        <f t="shared" si="286"/>
        <v>0</v>
      </c>
      <c r="G1134" s="2">
        <f t="shared" si="286"/>
        <v>0</v>
      </c>
      <c r="H1134" s="2">
        <f t="shared" si="286"/>
        <v>0</v>
      </c>
      <c r="I1134" s="2">
        <f t="shared" si="286"/>
        <v>0</v>
      </c>
      <c r="J1134" s="2">
        <f t="shared" si="286"/>
        <v>0</v>
      </c>
      <c r="K1134" s="38">
        <f t="shared" si="286"/>
        <v>0</v>
      </c>
      <c r="L1134" s="2">
        <f t="shared" si="286"/>
        <v>0</v>
      </c>
      <c r="M1134" s="2">
        <f t="shared" si="286"/>
        <v>420</v>
      </c>
      <c r="N1134" s="2">
        <f t="shared" si="286"/>
        <v>2772000</v>
      </c>
      <c r="O1134" s="2">
        <f t="shared" si="286"/>
        <v>0</v>
      </c>
      <c r="P1134" s="2">
        <f t="shared" si="286"/>
        <v>0</v>
      </c>
      <c r="Q1134" s="2">
        <f t="shared" si="286"/>
        <v>500</v>
      </c>
      <c r="R1134" s="2">
        <f t="shared" si="286"/>
        <v>1600000</v>
      </c>
      <c r="S1134" s="2">
        <f t="shared" si="286"/>
        <v>0</v>
      </c>
      <c r="T1134" s="2">
        <f t="shared" si="286"/>
        <v>0</v>
      </c>
      <c r="U1134" s="2">
        <f t="shared" si="286"/>
        <v>0</v>
      </c>
      <c r="V1134" s="44">
        <f>C1134</f>
        <v>4372000</v>
      </c>
    </row>
    <row r="1135" spans="1:22" ht="25.2" customHeight="1" x14ac:dyDescent="0.3">
      <c r="A1135" s="34" t="s">
        <v>1918</v>
      </c>
      <c r="B1135" s="49" t="s">
        <v>304</v>
      </c>
      <c r="C1135" s="2">
        <f>D1135+L1135+N1135+P1135+R1135+S1135+T1135+U1135</f>
        <v>4372000</v>
      </c>
      <c r="D1135" s="3">
        <f>SUM(E1135:J1135)</f>
        <v>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4">
        <v>0</v>
      </c>
      <c r="L1135" s="3">
        <v>0</v>
      </c>
      <c r="M1135" s="3">
        <v>420</v>
      </c>
      <c r="N1135" s="3">
        <f>M1135*6600</f>
        <v>2772000</v>
      </c>
      <c r="O1135" s="3">
        <v>0</v>
      </c>
      <c r="P1135" s="3">
        <v>0</v>
      </c>
      <c r="Q1135" s="63">
        <v>500</v>
      </c>
      <c r="R1135" s="3">
        <f>Q1135*3200</f>
        <v>1600000</v>
      </c>
      <c r="S1135" s="3">
        <v>0</v>
      </c>
      <c r="T1135" s="3">
        <v>0</v>
      </c>
      <c r="U1135" s="3">
        <v>0</v>
      </c>
      <c r="V1135" s="6">
        <f>N1135/M1135</f>
        <v>6600</v>
      </c>
    </row>
    <row r="1136" spans="1:22" ht="42.9" customHeight="1" x14ac:dyDescent="0.3">
      <c r="A1136" s="45" t="s">
        <v>803</v>
      </c>
      <c r="B1136" s="45"/>
      <c r="C1136" s="2">
        <f>SUM(C1137)</f>
        <v>6107821.3700000001</v>
      </c>
      <c r="D1136" s="2">
        <f t="shared" ref="D1136:U1136" si="287">SUM(D1137)</f>
        <v>5920200</v>
      </c>
      <c r="E1136" s="2">
        <f t="shared" si="287"/>
        <v>1593900</v>
      </c>
      <c r="F1136" s="2">
        <f t="shared" si="287"/>
        <v>2960100</v>
      </c>
      <c r="G1136" s="2">
        <f t="shared" si="287"/>
        <v>683100</v>
      </c>
      <c r="H1136" s="2">
        <f t="shared" si="287"/>
        <v>0</v>
      </c>
      <c r="I1136" s="2">
        <f t="shared" si="287"/>
        <v>683100</v>
      </c>
      <c r="J1136" s="2">
        <f t="shared" si="287"/>
        <v>0</v>
      </c>
      <c r="K1136" s="38">
        <f t="shared" si="287"/>
        <v>0</v>
      </c>
      <c r="L1136" s="2">
        <f t="shared" si="287"/>
        <v>0</v>
      </c>
      <c r="M1136" s="2">
        <f t="shared" si="287"/>
        <v>0</v>
      </c>
      <c r="N1136" s="2">
        <f t="shared" si="287"/>
        <v>0</v>
      </c>
      <c r="O1136" s="2">
        <f t="shared" si="287"/>
        <v>0</v>
      </c>
      <c r="P1136" s="2">
        <f t="shared" si="287"/>
        <v>0</v>
      </c>
      <c r="Q1136" s="2">
        <f t="shared" si="287"/>
        <v>0</v>
      </c>
      <c r="R1136" s="2">
        <f t="shared" si="287"/>
        <v>0</v>
      </c>
      <c r="S1136" s="2">
        <f t="shared" si="287"/>
        <v>0</v>
      </c>
      <c r="T1136" s="2">
        <f t="shared" si="287"/>
        <v>0</v>
      </c>
      <c r="U1136" s="2">
        <f t="shared" si="287"/>
        <v>187621.37</v>
      </c>
      <c r="V1136" s="44">
        <f>C1136</f>
        <v>6107821.3700000001</v>
      </c>
    </row>
    <row r="1137" spans="1:22" ht="25.2" customHeight="1" x14ac:dyDescent="0.3">
      <c r="A1137" s="46" t="s">
        <v>1919</v>
      </c>
      <c r="B1137" s="49" t="s">
        <v>307</v>
      </c>
      <c r="C1137" s="2">
        <f>D1137+L1137+N1137+P1137+R1137+S1137+T1137+U1137</f>
        <v>6107821.3700000001</v>
      </c>
      <c r="D1137" s="3">
        <f>SUM(E1137:J1137)</f>
        <v>5920200</v>
      </c>
      <c r="E1137" s="3">
        <f>700*2277</f>
        <v>1593900</v>
      </c>
      <c r="F1137" s="3">
        <f>1300*2277</f>
        <v>2960100</v>
      </c>
      <c r="G1137" s="3">
        <f>300*2277</f>
        <v>683100</v>
      </c>
      <c r="H1137" s="3">
        <v>0</v>
      </c>
      <c r="I1137" s="3">
        <f>300*2277</f>
        <v>683100</v>
      </c>
      <c r="J1137" s="3">
        <v>0</v>
      </c>
      <c r="K1137" s="4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f>Q1137*3200</f>
        <v>0</v>
      </c>
      <c r="S1137" s="3">
        <v>0</v>
      </c>
      <c r="T1137" s="3">
        <v>0</v>
      </c>
      <c r="U1137" s="3">
        <v>187621.37</v>
      </c>
      <c r="V1137" s="6" t="e">
        <f>N1137/M1137</f>
        <v>#DIV/0!</v>
      </c>
    </row>
    <row r="1138" spans="1:22" ht="42.9" customHeight="1" x14ac:dyDescent="0.3">
      <c r="A1138" s="45" t="s">
        <v>802</v>
      </c>
      <c r="B1138" s="45"/>
      <c r="C1138" s="2">
        <f>SUM(C1139:C1140)</f>
        <v>6707260</v>
      </c>
      <c r="D1138" s="2">
        <f t="shared" ref="D1138:U1138" si="288">SUM(D1139:D1140)</f>
        <v>943180</v>
      </c>
      <c r="E1138" s="2">
        <f t="shared" si="288"/>
        <v>488180</v>
      </c>
      <c r="F1138" s="2">
        <f t="shared" si="288"/>
        <v>455000</v>
      </c>
      <c r="G1138" s="2">
        <f t="shared" si="288"/>
        <v>0</v>
      </c>
      <c r="H1138" s="2">
        <f t="shared" si="288"/>
        <v>0</v>
      </c>
      <c r="I1138" s="2">
        <f t="shared" si="288"/>
        <v>0</v>
      </c>
      <c r="J1138" s="2">
        <f t="shared" si="288"/>
        <v>0</v>
      </c>
      <c r="K1138" s="38">
        <f t="shared" si="288"/>
        <v>0</v>
      </c>
      <c r="L1138" s="2">
        <f t="shared" si="288"/>
        <v>0</v>
      </c>
      <c r="M1138" s="2">
        <f t="shared" si="288"/>
        <v>497.2</v>
      </c>
      <c r="N1138" s="2">
        <f t="shared" si="288"/>
        <v>3281520</v>
      </c>
      <c r="O1138" s="2">
        <f t="shared" si="288"/>
        <v>0</v>
      </c>
      <c r="P1138" s="2">
        <f t="shared" si="288"/>
        <v>0</v>
      </c>
      <c r="Q1138" s="2">
        <f t="shared" si="288"/>
        <v>650.79999999999995</v>
      </c>
      <c r="R1138" s="2">
        <f t="shared" si="288"/>
        <v>2082560</v>
      </c>
      <c r="S1138" s="2">
        <f t="shared" si="288"/>
        <v>0</v>
      </c>
      <c r="T1138" s="2">
        <f t="shared" si="288"/>
        <v>0</v>
      </c>
      <c r="U1138" s="2">
        <f t="shared" si="288"/>
        <v>400000</v>
      </c>
    </row>
    <row r="1139" spans="1:22" ht="25.2" customHeight="1" x14ac:dyDescent="0.3">
      <c r="A1139" s="46" t="s">
        <v>1920</v>
      </c>
      <c r="B1139" s="49" t="s">
        <v>305</v>
      </c>
      <c r="C1139" s="2">
        <f>D1139+L1139+N1139+P1139+R1139+S1139+T1139+U1139</f>
        <v>2877540</v>
      </c>
      <c r="D1139" s="3">
        <f>SUM(E1139:J1139)</f>
        <v>243179.99999999997</v>
      </c>
      <c r="E1139" s="3">
        <f>700*347.4</f>
        <v>243179.99999999997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235</v>
      </c>
      <c r="N1139" s="3">
        <f>M1139*6600</f>
        <v>1551000</v>
      </c>
      <c r="O1139" s="3">
        <v>0</v>
      </c>
      <c r="P1139" s="3">
        <v>0</v>
      </c>
      <c r="Q1139" s="3">
        <v>244.8</v>
      </c>
      <c r="R1139" s="3">
        <f>Q1139*3200</f>
        <v>783360</v>
      </c>
      <c r="S1139" s="3">
        <v>0</v>
      </c>
      <c r="T1139" s="3">
        <v>0</v>
      </c>
      <c r="U1139" s="3">
        <v>300000</v>
      </c>
      <c r="V1139" s="6">
        <f>N1139/M1139</f>
        <v>6600</v>
      </c>
    </row>
    <row r="1140" spans="1:22" ht="25.2" customHeight="1" x14ac:dyDescent="0.3">
      <c r="A1140" s="46" t="s">
        <v>1921</v>
      </c>
      <c r="B1140" s="49" t="s">
        <v>306</v>
      </c>
      <c r="C1140" s="2">
        <f>D1140+L1140+N1140+P1140+R1140+S1140+T1140+U1140</f>
        <v>3829720</v>
      </c>
      <c r="D1140" s="3">
        <f>SUM(E1140:J1140)</f>
        <v>700000</v>
      </c>
      <c r="E1140" s="3">
        <f>350*700</f>
        <v>245000</v>
      </c>
      <c r="F1140" s="3">
        <f>1300*350</f>
        <v>455000</v>
      </c>
      <c r="G1140" s="3">
        <v>0</v>
      </c>
      <c r="H1140" s="3">
        <v>0</v>
      </c>
      <c r="I1140" s="3">
        <v>0</v>
      </c>
      <c r="J1140" s="3">
        <v>0</v>
      </c>
      <c r="K1140" s="4">
        <v>0</v>
      </c>
      <c r="L1140" s="3">
        <v>0</v>
      </c>
      <c r="M1140" s="3">
        <v>262.2</v>
      </c>
      <c r="N1140" s="3">
        <f>M1140*6600</f>
        <v>1730520</v>
      </c>
      <c r="O1140" s="3">
        <v>0</v>
      </c>
      <c r="P1140" s="3">
        <v>0</v>
      </c>
      <c r="Q1140" s="3">
        <v>406</v>
      </c>
      <c r="R1140" s="3">
        <f>Q1140*3200</f>
        <v>1299200</v>
      </c>
      <c r="S1140" s="3">
        <v>0</v>
      </c>
      <c r="T1140" s="3">
        <v>0</v>
      </c>
      <c r="U1140" s="3">
        <v>100000</v>
      </c>
      <c r="V1140" s="6">
        <f>N1140/M1140</f>
        <v>6600</v>
      </c>
    </row>
    <row r="1141" spans="1:22" ht="42.9" customHeight="1" x14ac:dyDescent="0.3">
      <c r="A1141" s="45" t="s">
        <v>309</v>
      </c>
      <c r="B1141" s="45"/>
      <c r="C1141" s="2">
        <f>SUM(C1142:C1144)</f>
        <v>28672282</v>
      </c>
      <c r="D1141" s="2">
        <f t="shared" ref="D1141:U1141" si="289">SUM(D1142:D1144)</f>
        <v>6793800</v>
      </c>
      <c r="E1141" s="2">
        <f t="shared" si="289"/>
        <v>1829100</v>
      </c>
      <c r="F1141" s="2">
        <f t="shared" si="289"/>
        <v>3396900</v>
      </c>
      <c r="G1141" s="2">
        <f t="shared" si="289"/>
        <v>783900</v>
      </c>
      <c r="H1141" s="2">
        <f t="shared" si="289"/>
        <v>0</v>
      </c>
      <c r="I1141" s="2">
        <f t="shared" si="289"/>
        <v>783900</v>
      </c>
      <c r="J1141" s="2">
        <f t="shared" si="289"/>
        <v>0</v>
      </c>
      <c r="K1141" s="38">
        <f t="shared" si="289"/>
        <v>0</v>
      </c>
      <c r="L1141" s="2">
        <f t="shared" si="289"/>
        <v>0</v>
      </c>
      <c r="M1141" s="2">
        <f t="shared" si="289"/>
        <v>1719.17</v>
      </c>
      <c r="N1141" s="2">
        <f t="shared" si="289"/>
        <v>8431122</v>
      </c>
      <c r="O1141" s="2">
        <f t="shared" si="289"/>
        <v>0</v>
      </c>
      <c r="P1141" s="2">
        <f t="shared" si="289"/>
        <v>0</v>
      </c>
      <c r="Q1141" s="2">
        <f t="shared" si="289"/>
        <v>4139.7999999999993</v>
      </c>
      <c r="R1141" s="2">
        <f t="shared" si="289"/>
        <v>13247360</v>
      </c>
      <c r="S1141" s="2">
        <f t="shared" si="289"/>
        <v>0</v>
      </c>
      <c r="T1141" s="2">
        <f t="shared" si="289"/>
        <v>0</v>
      </c>
      <c r="U1141" s="2">
        <f t="shared" si="289"/>
        <v>200000</v>
      </c>
    </row>
    <row r="1142" spans="1:22" ht="25.2" customHeight="1" x14ac:dyDescent="0.3">
      <c r="A1142" s="34" t="s">
        <v>1985</v>
      </c>
      <c r="B1142" s="49" t="s">
        <v>1175</v>
      </c>
      <c r="C1142" s="2">
        <f>D1142+L1142+N1142+P1142+R1142+S1142+T1142+U1142</f>
        <v>16654040</v>
      </c>
      <c r="D1142" s="3">
        <f>SUM(E1142:J1142)</f>
        <v>6793800</v>
      </c>
      <c r="E1142" s="3">
        <f>2613*700</f>
        <v>1829100</v>
      </c>
      <c r="F1142" s="3">
        <f>1300*2613</f>
        <v>3396900</v>
      </c>
      <c r="G1142" s="3">
        <f>300*2613</f>
        <v>783900</v>
      </c>
      <c r="H1142" s="3">
        <v>0</v>
      </c>
      <c r="I1142" s="3">
        <f>300*2613</f>
        <v>783900</v>
      </c>
      <c r="J1142" s="3">
        <v>0</v>
      </c>
      <c r="K1142" s="4">
        <v>0</v>
      </c>
      <c r="L1142" s="3">
        <v>0</v>
      </c>
      <c r="M1142" s="3">
        <v>680</v>
      </c>
      <c r="N1142" s="3">
        <f>M1142*4450</f>
        <v>3026000</v>
      </c>
      <c r="O1142" s="3">
        <v>0</v>
      </c>
      <c r="P1142" s="3">
        <v>0</v>
      </c>
      <c r="Q1142" s="3">
        <v>2073.1999999999998</v>
      </c>
      <c r="R1142" s="3">
        <f>Q1142*3200</f>
        <v>6634239.9999999991</v>
      </c>
      <c r="S1142" s="3">
        <v>0</v>
      </c>
      <c r="T1142" s="3">
        <v>0</v>
      </c>
      <c r="U1142" s="3">
        <v>200000</v>
      </c>
    </row>
    <row r="1143" spans="1:22" ht="25.2" customHeight="1" x14ac:dyDescent="0.3">
      <c r="A1143" s="34" t="s">
        <v>1922</v>
      </c>
      <c r="B1143" s="49" t="s">
        <v>831</v>
      </c>
      <c r="C1143" s="2">
        <f>D1143+L1143+N1143+P1143+R1143+S1143+T1143+U1143</f>
        <v>9621320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3">
        <v>0</v>
      </c>
      <c r="L1143" s="32">
        <v>0</v>
      </c>
      <c r="M1143" s="32">
        <v>676</v>
      </c>
      <c r="N1143" s="3">
        <f>M1143*4450</f>
        <v>3008200</v>
      </c>
      <c r="O1143" s="32">
        <v>0</v>
      </c>
      <c r="P1143" s="32">
        <v>0</v>
      </c>
      <c r="Q1143" s="32">
        <v>2066.6</v>
      </c>
      <c r="R1143" s="3">
        <f>Q1143*3200</f>
        <v>6613120</v>
      </c>
      <c r="S1143" s="32">
        <v>0</v>
      </c>
      <c r="T1143" s="32">
        <v>0</v>
      </c>
      <c r="U1143" s="32">
        <v>0</v>
      </c>
      <c r="V1143" s="6">
        <f>N1143/M1143</f>
        <v>4450</v>
      </c>
    </row>
    <row r="1144" spans="1:22" ht="25.2" customHeight="1" x14ac:dyDescent="0.3">
      <c r="A1144" s="34" t="s">
        <v>1923</v>
      </c>
      <c r="B1144" s="49" t="s">
        <v>312</v>
      </c>
      <c r="C1144" s="2">
        <f>D1144+L1144+N1144+P1144+R1144+S1144+T1144+U1144</f>
        <v>2396922</v>
      </c>
      <c r="D1144" s="3">
        <f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4">
        <v>0</v>
      </c>
      <c r="L1144" s="3">
        <v>0</v>
      </c>
      <c r="M1144" s="3">
        <v>363.17</v>
      </c>
      <c r="N1144" s="3">
        <f>M1144*6600</f>
        <v>2396922</v>
      </c>
      <c r="O1144" s="3">
        <v>0</v>
      </c>
      <c r="P1144" s="3">
        <v>0</v>
      </c>
      <c r="Q1144" s="3">
        <v>0</v>
      </c>
      <c r="R1144" s="3">
        <f>Q1144*3200</f>
        <v>0</v>
      </c>
      <c r="S1144" s="3">
        <v>0</v>
      </c>
      <c r="T1144" s="3">
        <v>0</v>
      </c>
      <c r="U1144" s="3">
        <v>0</v>
      </c>
      <c r="V1144" s="6">
        <f>N1144/M1144</f>
        <v>6600</v>
      </c>
    </row>
    <row r="1145" spans="1:22" ht="45" customHeight="1" x14ac:dyDescent="0.3">
      <c r="A1145" s="45" t="s">
        <v>313</v>
      </c>
      <c r="B1145" s="45"/>
      <c r="C1145" s="2">
        <f>SUM(C1146)</f>
        <v>5314400</v>
      </c>
      <c r="D1145" s="2">
        <f t="shared" ref="D1145:U1145" si="290">SUM(D1146)</f>
        <v>0</v>
      </c>
      <c r="E1145" s="2">
        <f t="shared" si="290"/>
        <v>0</v>
      </c>
      <c r="F1145" s="2">
        <f t="shared" si="290"/>
        <v>0</v>
      </c>
      <c r="G1145" s="2">
        <f t="shared" si="290"/>
        <v>0</v>
      </c>
      <c r="H1145" s="2">
        <f t="shared" si="290"/>
        <v>0</v>
      </c>
      <c r="I1145" s="2">
        <f t="shared" si="290"/>
        <v>0</v>
      </c>
      <c r="J1145" s="2">
        <f t="shared" si="290"/>
        <v>0</v>
      </c>
      <c r="K1145" s="38">
        <f t="shared" si="290"/>
        <v>0</v>
      </c>
      <c r="L1145" s="2">
        <f t="shared" si="290"/>
        <v>0</v>
      </c>
      <c r="M1145" s="2">
        <f t="shared" si="290"/>
        <v>500</v>
      </c>
      <c r="N1145" s="2">
        <f t="shared" si="290"/>
        <v>3300000</v>
      </c>
      <c r="O1145" s="2">
        <f t="shared" si="290"/>
        <v>0</v>
      </c>
      <c r="P1145" s="2">
        <f t="shared" si="290"/>
        <v>0</v>
      </c>
      <c r="Q1145" s="2">
        <f t="shared" si="290"/>
        <v>629.5</v>
      </c>
      <c r="R1145" s="2">
        <f t="shared" si="290"/>
        <v>2014400</v>
      </c>
      <c r="S1145" s="2">
        <f t="shared" si="290"/>
        <v>0</v>
      </c>
      <c r="T1145" s="2">
        <f t="shared" si="290"/>
        <v>0</v>
      </c>
      <c r="U1145" s="2">
        <f t="shared" si="290"/>
        <v>0</v>
      </c>
    </row>
    <row r="1146" spans="1:22" ht="25.2" customHeight="1" x14ac:dyDescent="0.3">
      <c r="A1146" s="46" t="s">
        <v>1924</v>
      </c>
      <c r="B1146" s="1" t="s">
        <v>314</v>
      </c>
      <c r="C1146" s="2">
        <f>D1146+L1146+N1146+P1146+R1146+S1146+T1146+U1146</f>
        <v>5314400</v>
      </c>
      <c r="D1146" s="3">
        <f>SUM(E1146:J1146)</f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4">
        <v>0</v>
      </c>
      <c r="L1146" s="3">
        <v>0</v>
      </c>
      <c r="M1146" s="3">
        <v>500</v>
      </c>
      <c r="N1146" s="3">
        <f>M1146*6600</f>
        <v>3300000</v>
      </c>
      <c r="O1146" s="3">
        <v>0</v>
      </c>
      <c r="P1146" s="3">
        <v>0</v>
      </c>
      <c r="Q1146" s="3">
        <v>629.5</v>
      </c>
      <c r="R1146" s="3">
        <f>Q1146*3200</f>
        <v>2014400</v>
      </c>
      <c r="S1146" s="3">
        <v>0</v>
      </c>
      <c r="T1146" s="3">
        <v>0</v>
      </c>
      <c r="U1146" s="3">
        <v>0</v>
      </c>
      <c r="V1146" s="6">
        <f>N1146/M1146</f>
        <v>6600</v>
      </c>
    </row>
    <row r="1147" spans="1:22" ht="42.9" customHeight="1" x14ac:dyDescent="0.3">
      <c r="A1147" s="45" t="s">
        <v>316</v>
      </c>
      <c r="B1147" s="45"/>
      <c r="C1147" s="2">
        <f>SUM(C1148)</f>
        <v>2850700</v>
      </c>
      <c r="D1147" s="2">
        <f t="shared" ref="D1147:U1147" si="291">SUM(D1148)</f>
        <v>830700</v>
      </c>
      <c r="E1147" s="2">
        <f t="shared" si="291"/>
        <v>447300</v>
      </c>
      <c r="F1147" s="2">
        <f t="shared" si="291"/>
        <v>0</v>
      </c>
      <c r="G1147" s="2">
        <f t="shared" si="291"/>
        <v>191700</v>
      </c>
      <c r="H1147" s="2">
        <f t="shared" si="291"/>
        <v>0</v>
      </c>
      <c r="I1147" s="2">
        <f t="shared" si="291"/>
        <v>191700</v>
      </c>
      <c r="J1147" s="2">
        <f t="shared" si="291"/>
        <v>0</v>
      </c>
      <c r="K1147" s="38">
        <f t="shared" si="291"/>
        <v>0</v>
      </c>
      <c r="L1147" s="2">
        <f t="shared" si="291"/>
        <v>0</v>
      </c>
      <c r="M1147" s="2">
        <f t="shared" si="291"/>
        <v>0</v>
      </c>
      <c r="N1147" s="2">
        <f t="shared" si="291"/>
        <v>0</v>
      </c>
      <c r="O1147" s="2">
        <f t="shared" si="291"/>
        <v>0</v>
      </c>
      <c r="P1147" s="2">
        <f t="shared" si="291"/>
        <v>0</v>
      </c>
      <c r="Q1147" s="2">
        <f t="shared" si="291"/>
        <v>600</v>
      </c>
      <c r="R1147" s="2">
        <f t="shared" si="291"/>
        <v>1920000</v>
      </c>
      <c r="S1147" s="2">
        <f t="shared" si="291"/>
        <v>0</v>
      </c>
      <c r="T1147" s="2">
        <f t="shared" si="291"/>
        <v>0</v>
      </c>
      <c r="U1147" s="2">
        <f t="shared" si="291"/>
        <v>100000</v>
      </c>
    </row>
    <row r="1148" spans="1:22" ht="25.2" customHeight="1" x14ac:dyDescent="0.3">
      <c r="A1148" s="34" t="s">
        <v>2015</v>
      </c>
      <c r="B1148" s="49" t="s">
        <v>919</v>
      </c>
      <c r="C1148" s="2">
        <f>D1148+L1148+N1148+P1148+R1148+S1148+T1148+U1148</f>
        <v>2850700</v>
      </c>
      <c r="D1148" s="3">
        <f>SUM(E1148:J1148)</f>
        <v>830700</v>
      </c>
      <c r="E1148" s="3">
        <f>700*639</f>
        <v>447300</v>
      </c>
      <c r="F1148" s="3">
        <v>0</v>
      </c>
      <c r="G1148" s="3">
        <f>300*639</f>
        <v>191700</v>
      </c>
      <c r="H1148" s="3">
        <v>0</v>
      </c>
      <c r="I1148" s="3">
        <f>300*639</f>
        <v>191700</v>
      </c>
      <c r="J1148" s="3">
        <v>0</v>
      </c>
      <c r="K1148" s="33">
        <v>0</v>
      </c>
      <c r="L1148" s="32">
        <v>0</v>
      </c>
      <c r="M1148" s="32">
        <v>0</v>
      </c>
      <c r="N1148" s="32">
        <v>0</v>
      </c>
      <c r="O1148" s="32">
        <v>0</v>
      </c>
      <c r="P1148" s="32">
        <v>0</v>
      </c>
      <c r="Q1148" s="32">
        <v>600</v>
      </c>
      <c r="R1148" s="3">
        <f>Q1148*3200</f>
        <v>1920000</v>
      </c>
      <c r="S1148" s="32">
        <v>0</v>
      </c>
      <c r="T1148" s="32">
        <v>0</v>
      </c>
      <c r="U1148" s="32">
        <v>100000</v>
      </c>
      <c r="V1148" s="6" t="e">
        <f>N1148/M1148</f>
        <v>#DIV/0!</v>
      </c>
    </row>
    <row r="1149" spans="1:22" ht="45" customHeight="1" x14ac:dyDescent="0.3">
      <c r="A1149" s="45" t="s">
        <v>318</v>
      </c>
      <c r="B1149" s="45"/>
      <c r="C1149" s="2">
        <f>SUM(C1150)</f>
        <v>7524000</v>
      </c>
      <c r="D1149" s="2">
        <f t="shared" ref="D1149:U1149" si="292">SUM(D1150)</f>
        <v>0</v>
      </c>
      <c r="E1149" s="2">
        <f t="shared" si="292"/>
        <v>0</v>
      </c>
      <c r="F1149" s="2">
        <f t="shared" si="292"/>
        <v>0</v>
      </c>
      <c r="G1149" s="2">
        <f t="shared" si="292"/>
        <v>0</v>
      </c>
      <c r="H1149" s="2">
        <f t="shared" si="292"/>
        <v>0</v>
      </c>
      <c r="I1149" s="2">
        <f t="shared" si="292"/>
        <v>0</v>
      </c>
      <c r="J1149" s="2">
        <f t="shared" si="292"/>
        <v>0</v>
      </c>
      <c r="K1149" s="38">
        <f t="shared" si="292"/>
        <v>0</v>
      </c>
      <c r="L1149" s="2">
        <f t="shared" si="292"/>
        <v>0</v>
      </c>
      <c r="M1149" s="2">
        <f t="shared" si="292"/>
        <v>1140</v>
      </c>
      <c r="N1149" s="2">
        <f t="shared" si="292"/>
        <v>7524000</v>
      </c>
      <c r="O1149" s="2">
        <f t="shared" si="292"/>
        <v>0</v>
      </c>
      <c r="P1149" s="2">
        <f t="shared" si="292"/>
        <v>0</v>
      </c>
      <c r="Q1149" s="2">
        <f t="shared" si="292"/>
        <v>0</v>
      </c>
      <c r="R1149" s="2">
        <f t="shared" si="292"/>
        <v>0</v>
      </c>
      <c r="S1149" s="2">
        <f t="shared" si="292"/>
        <v>0</v>
      </c>
      <c r="T1149" s="2">
        <f t="shared" si="292"/>
        <v>0</v>
      </c>
      <c r="U1149" s="2">
        <f t="shared" si="292"/>
        <v>0</v>
      </c>
    </row>
    <row r="1150" spans="1:22" ht="25.2" customHeight="1" x14ac:dyDescent="0.3">
      <c r="A1150" s="46" t="s">
        <v>1925</v>
      </c>
      <c r="B1150" s="49" t="s">
        <v>1806</v>
      </c>
      <c r="C1150" s="2">
        <f>D1150+L1150+N1150+P1150+R1150+S1150+T1150+U1150</f>
        <v>7524000</v>
      </c>
      <c r="D1150" s="3">
        <f>SUM(E1150:J1150)</f>
        <v>0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f>350*0</f>
        <v>0</v>
      </c>
      <c r="K1150" s="4">
        <v>0</v>
      </c>
      <c r="L1150" s="3">
        <v>0</v>
      </c>
      <c r="M1150" s="3">
        <v>1140</v>
      </c>
      <c r="N1150" s="3">
        <f>M1150*6600</f>
        <v>7524000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6">
        <f>N1150/M1150</f>
        <v>6600</v>
      </c>
    </row>
    <row r="1151" spans="1:22" ht="45" customHeight="1" x14ac:dyDescent="0.3">
      <c r="A1151" s="45" t="s">
        <v>983</v>
      </c>
      <c r="B1151" s="45"/>
      <c r="C1151" s="2">
        <f>SUM(C1152:C1176)</f>
        <v>205615276.18999997</v>
      </c>
      <c r="D1151" s="2">
        <f t="shared" ref="D1151:U1151" si="293">SUM(D1152:D1176)</f>
        <v>70538824.799999997</v>
      </c>
      <c r="E1151" s="2">
        <f t="shared" si="293"/>
        <v>17689980</v>
      </c>
      <c r="F1151" s="2">
        <f t="shared" si="293"/>
        <v>33026680</v>
      </c>
      <c r="G1151" s="2">
        <f t="shared" si="293"/>
        <v>8146260</v>
      </c>
      <c r="H1151" s="2">
        <f t="shared" si="293"/>
        <v>3428800</v>
      </c>
      <c r="I1151" s="2">
        <f t="shared" si="293"/>
        <v>8247104.7999999998</v>
      </c>
      <c r="J1151" s="2">
        <f t="shared" si="293"/>
        <v>0</v>
      </c>
      <c r="K1151" s="38">
        <f t="shared" si="293"/>
        <v>0</v>
      </c>
      <c r="L1151" s="2">
        <f t="shared" si="293"/>
        <v>0</v>
      </c>
      <c r="M1151" s="2">
        <f t="shared" si="293"/>
        <v>14308.949999999999</v>
      </c>
      <c r="N1151" s="2">
        <f t="shared" si="293"/>
        <v>85614710</v>
      </c>
      <c r="O1151" s="2">
        <f t="shared" si="293"/>
        <v>0</v>
      </c>
      <c r="P1151" s="2">
        <f t="shared" si="293"/>
        <v>0</v>
      </c>
      <c r="Q1151" s="2">
        <f t="shared" si="293"/>
        <v>14371.599999999999</v>
      </c>
      <c r="R1151" s="2">
        <f t="shared" si="293"/>
        <v>45989120</v>
      </c>
      <c r="S1151" s="2">
        <f t="shared" si="293"/>
        <v>0</v>
      </c>
      <c r="T1151" s="2">
        <f t="shared" si="293"/>
        <v>0</v>
      </c>
      <c r="U1151" s="2">
        <f t="shared" si="293"/>
        <v>3472621.39</v>
      </c>
    </row>
    <row r="1152" spans="1:22" ht="27" customHeight="1" x14ac:dyDescent="0.3">
      <c r="A1152" s="34" t="s">
        <v>1926</v>
      </c>
      <c r="B1152" s="49" t="s">
        <v>1811</v>
      </c>
      <c r="C1152" s="2">
        <f t="shared" ref="C1152" si="294">D1152+L1152+N1152+P1152+R1152+S1152+T1152+U1152</f>
        <v>10633489.439999999</v>
      </c>
      <c r="D1152" s="3">
        <f t="shared" ref="D1152" si="295">SUM(E1152:J1152)</f>
        <v>0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4">
        <v>0</v>
      </c>
      <c r="L1152" s="3">
        <v>0</v>
      </c>
      <c r="M1152" s="3">
        <v>2298</v>
      </c>
      <c r="N1152" s="3">
        <f>M1152*4450</f>
        <v>10226100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407389.44</v>
      </c>
    </row>
    <row r="1153" spans="1:22" ht="27" customHeight="1" x14ac:dyDescent="0.3">
      <c r="A1153" s="34" t="s">
        <v>1927</v>
      </c>
      <c r="B1153" s="49" t="s">
        <v>1198</v>
      </c>
      <c r="C1153" s="2">
        <f t="shared" ref="C1153:C1176" si="296">D1153+L1153+N1153+P1153+R1153+S1153+T1153+U1153</f>
        <v>447099.26</v>
      </c>
      <c r="D1153" s="3">
        <f t="shared" ref="D1153:D1165" si="297">SUM(E1153:J1153)</f>
        <v>253894.8</v>
      </c>
      <c r="E1153" s="3">
        <v>0</v>
      </c>
      <c r="F1153" s="3">
        <v>0</v>
      </c>
      <c r="G1153" s="3">
        <v>0</v>
      </c>
      <c r="H1153" s="3">
        <v>0</v>
      </c>
      <c r="I1153" s="3">
        <v>253894.8</v>
      </c>
      <c r="J1153" s="3">
        <v>0</v>
      </c>
      <c r="K1153" s="4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193204.46</v>
      </c>
    </row>
    <row r="1154" spans="1:22" ht="27" customHeight="1" x14ac:dyDescent="0.3">
      <c r="A1154" s="34" t="s">
        <v>1928</v>
      </c>
      <c r="B1154" s="49" t="s">
        <v>327</v>
      </c>
      <c r="C1154" s="2">
        <f>D1154+L1154+N1154+P1154+R1154+S1154+T1154+U1154</f>
        <v>4548680</v>
      </c>
      <c r="D1154" s="3">
        <f t="shared" si="297"/>
        <v>730600</v>
      </c>
      <c r="E1154" s="3">
        <f>700*281</f>
        <v>196700</v>
      </c>
      <c r="F1154" s="3">
        <f>1300*281</f>
        <v>365300</v>
      </c>
      <c r="G1154" s="3">
        <f>300*281</f>
        <v>84300</v>
      </c>
      <c r="H1154" s="3">
        <f t="shared" ref="H1154:H1159" si="298">400*0</f>
        <v>0</v>
      </c>
      <c r="I1154" s="3">
        <f>300*281</f>
        <v>84300</v>
      </c>
      <c r="J1154" s="3">
        <v>0</v>
      </c>
      <c r="K1154" s="4">
        <v>0</v>
      </c>
      <c r="L1154" s="3">
        <v>0</v>
      </c>
      <c r="M1154" s="3">
        <v>400</v>
      </c>
      <c r="N1154" s="3">
        <f>M1154*6600</f>
        <v>2640000</v>
      </c>
      <c r="O1154" s="3">
        <v>0</v>
      </c>
      <c r="P1154" s="3">
        <v>0</v>
      </c>
      <c r="Q1154" s="3">
        <v>336.9</v>
      </c>
      <c r="R1154" s="3">
        <f>Q1154*3200</f>
        <v>1078080</v>
      </c>
      <c r="S1154" s="3">
        <v>0</v>
      </c>
      <c r="T1154" s="3">
        <v>0</v>
      </c>
      <c r="U1154" s="3">
        <v>100000</v>
      </c>
      <c r="V1154" s="6">
        <f>N1154/M1154</f>
        <v>6600</v>
      </c>
    </row>
    <row r="1155" spans="1:22" ht="27" customHeight="1" x14ac:dyDescent="0.3">
      <c r="A1155" s="34" t="s">
        <v>1929</v>
      </c>
      <c r="B1155" s="49" t="s">
        <v>331</v>
      </c>
      <c r="C1155" s="2">
        <f t="shared" ref="C1155:C1159" si="299">D1155+L1155+N1155+P1155+R1155+S1155+T1155+U1155</f>
        <v>3647840.0000000005</v>
      </c>
      <c r="D1155" s="3">
        <f t="shared" ref="D1155:D1159" si="300">SUM(E1155:J1155)</f>
        <v>275240</v>
      </c>
      <c r="E1155" s="3">
        <f>350*786.4</f>
        <v>275240</v>
      </c>
      <c r="F1155" s="3">
        <v>0</v>
      </c>
      <c r="G1155" s="3">
        <v>0</v>
      </c>
      <c r="H1155" s="3">
        <f t="shared" si="298"/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613.20000000000005</v>
      </c>
      <c r="N1155" s="3">
        <f t="shared" ref="N1155:N1158" si="301">M1155*5500</f>
        <v>3372600.0000000005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6">
        <f t="shared" ref="V1155:V1159" si="302">N1155/M1155</f>
        <v>5500</v>
      </c>
    </row>
    <row r="1156" spans="1:22" ht="27" customHeight="1" x14ac:dyDescent="0.3">
      <c r="A1156" s="34" t="s">
        <v>1930</v>
      </c>
      <c r="B1156" s="49" t="s">
        <v>332</v>
      </c>
      <c r="C1156" s="2">
        <f t="shared" si="299"/>
        <v>3372600.0000000005</v>
      </c>
      <c r="D1156" s="3">
        <f t="shared" si="300"/>
        <v>0</v>
      </c>
      <c r="E1156" s="3">
        <v>0</v>
      </c>
      <c r="F1156" s="3">
        <v>0</v>
      </c>
      <c r="G1156" s="3">
        <v>0</v>
      </c>
      <c r="H1156" s="3">
        <f t="shared" si="298"/>
        <v>0</v>
      </c>
      <c r="I1156" s="3">
        <v>0</v>
      </c>
      <c r="J1156" s="3">
        <v>0</v>
      </c>
      <c r="K1156" s="4">
        <v>0</v>
      </c>
      <c r="L1156" s="3">
        <v>0</v>
      </c>
      <c r="M1156" s="3">
        <v>613.20000000000005</v>
      </c>
      <c r="N1156" s="3">
        <f t="shared" si="301"/>
        <v>3372600.0000000005</v>
      </c>
      <c r="O1156" s="3">
        <v>0</v>
      </c>
      <c r="P1156" s="3">
        <v>0</v>
      </c>
      <c r="Q1156" s="3">
        <v>0</v>
      </c>
      <c r="R1156" s="3">
        <f t="shared" ref="R1156" si="303">Q1156*3000</f>
        <v>0</v>
      </c>
      <c r="S1156" s="3">
        <v>0</v>
      </c>
      <c r="T1156" s="3">
        <v>0</v>
      </c>
      <c r="U1156" s="3">
        <v>0</v>
      </c>
      <c r="V1156" s="6">
        <f t="shared" si="302"/>
        <v>5500</v>
      </c>
    </row>
    <row r="1157" spans="1:22" ht="27" customHeight="1" x14ac:dyDescent="0.3">
      <c r="A1157" s="34" t="s">
        <v>1931</v>
      </c>
      <c r="B1157" s="49" t="s">
        <v>333</v>
      </c>
      <c r="C1157" s="2">
        <f t="shared" si="299"/>
        <v>4897500</v>
      </c>
      <c r="D1157" s="3">
        <f t="shared" si="300"/>
        <v>1524900</v>
      </c>
      <c r="E1157" s="3">
        <f>350*782</f>
        <v>273700</v>
      </c>
      <c r="F1157" s="3">
        <f>1050*782</f>
        <v>821100</v>
      </c>
      <c r="G1157" s="3">
        <f>300*782</f>
        <v>234600</v>
      </c>
      <c r="H1157" s="3">
        <f t="shared" si="298"/>
        <v>0</v>
      </c>
      <c r="I1157" s="3">
        <f>250*782</f>
        <v>195500</v>
      </c>
      <c r="J1157" s="3">
        <v>0</v>
      </c>
      <c r="K1157" s="4">
        <v>0</v>
      </c>
      <c r="L1157" s="3">
        <v>0</v>
      </c>
      <c r="M1157" s="3">
        <v>613.20000000000005</v>
      </c>
      <c r="N1157" s="3">
        <f t="shared" si="301"/>
        <v>3372600.0000000005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6">
        <f t="shared" si="302"/>
        <v>5500</v>
      </c>
    </row>
    <row r="1158" spans="1:22" ht="27" customHeight="1" x14ac:dyDescent="0.3">
      <c r="A1158" s="34" t="s">
        <v>1986</v>
      </c>
      <c r="B1158" s="49" t="s">
        <v>334</v>
      </c>
      <c r="C1158" s="2">
        <f t="shared" si="299"/>
        <v>4935600</v>
      </c>
      <c r="D1158" s="3">
        <f t="shared" si="300"/>
        <v>1536600</v>
      </c>
      <c r="E1158" s="3">
        <f>350*788</f>
        <v>275800</v>
      </c>
      <c r="F1158" s="3">
        <f>1050*788</f>
        <v>827400</v>
      </c>
      <c r="G1158" s="3">
        <f>300*788</f>
        <v>236400</v>
      </c>
      <c r="H1158" s="3">
        <f t="shared" si="298"/>
        <v>0</v>
      </c>
      <c r="I1158" s="3">
        <f>250*788</f>
        <v>197000</v>
      </c>
      <c r="J1158" s="3">
        <v>0</v>
      </c>
      <c r="K1158" s="4">
        <v>0</v>
      </c>
      <c r="L1158" s="3">
        <v>0</v>
      </c>
      <c r="M1158" s="3">
        <v>618</v>
      </c>
      <c r="N1158" s="3">
        <f t="shared" si="301"/>
        <v>3399000</v>
      </c>
      <c r="O1158" s="3">
        <v>0</v>
      </c>
      <c r="P1158" s="3">
        <v>0</v>
      </c>
      <c r="Q1158" s="3">
        <v>0</v>
      </c>
      <c r="R1158" s="3">
        <f t="shared" ref="R1158" si="304">Q1158*3000</f>
        <v>0</v>
      </c>
      <c r="S1158" s="3">
        <v>0</v>
      </c>
      <c r="T1158" s="3">
        <v>0</v>
      </c>
      <c r="U1158" s="3">
        <v>0</v>
      </c>
      <c r="V1158" s="6">
        <f t="shared" si="302"/>
        <v>5500</v>
      </c>
    </row>
    <row r="1159" spans="1:22" ht="27" customHeight="1" x14ac:dyDescent="0.3">
      <c r="A1159" s="34" t="s">
        <v>1932</v>
      </c>
      <c r="B1159" s="49" t="s">
        <v>335</v>
      </c>
      <c r="C1159" s="2">
        <f t="shared" si="299"/>
        <v>5086000</v>
      </c>
      <c r="D1159" s="3">
        <f t="shared" si="300"/>
        <v>1027000</v>
      </c>
      <c r="E1159" s="3">
        <f>700*790</f>
        <v>553000</v>
      </c>
      <c r="F1159" s="3">
        <v>0</v>
      </c>
      <c r="G1159" s="3">
        <f>300*790</f>
        <v>237000</v>
      </c>
      <c r="H1159" s="3">
        <f t="shared" si="298"/>
        <v>0</v>
      </c>
      <c r="I1159" s="3">
        <f>300*790</f>
        <v>237000</v>
      </c>
      <c r="J1159" s="3">
        <v>0</v>
      </c>
      <c r="K1159" s="4">
        <v>0</v>
      </c>
      <c r="L1159" s="3">
        <v>0</v>
      </c>
      <c r="M1159" s="3">
        <v>615</v>
      </c>
      <c r="N1159" s="3">
        <f>M1159*6600</f>
        <v>4059000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6">
        <f t="shared" si="302"/>
        <v>6600</v>
      </c>
    </row>
    <row r="1160" spans="1:22" ht="27" customHeight="1" x14ac:dyDescent="0.3">
      <c r="A1160" s="34" t="s">
        <v>1933</v>
      </c>
      <c r="B1160" s="49" t="s">
        <v>336</v>
      </c>
      <c r="C1160" s="2">
        <f>D1160+L1160+N1160+P1160+R1160+S1160+T1160+U1160</f>
        <v>400000</v>
      </c>
      <c r="D1160" s="3">
        <f t="shared" si="297"/>
        <v>0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4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f>Q1160*3000</f>
        <v>0</v>
      </c>
      <c r="S1160" s="3">
        <v>0</v>
      </c>
      <c r="T1160" s="3">
        <v>0</v>
      </c>
      <c r="U1160" s="3">
        <v>400000</v>
      </c>
      <c r="V1160" s="6" t="e">
        <f>N1160/M1160</f>
        <v>#DIV/0!</v>
      </c>
    </row>
    <row r="1161" spans="1:22" ht="27" customHeight="1" x14ac:dyDescent="0.3">
      <c r="A1161" s="34" t="s">
        <v>1934</v>
      </c>
      <c r="B1161" s="49" t="s">
        <v>337</v>
      </c>
      <c r="C1161" s="2">
        <f t="shared" ref="C1161:C1162" si="305">D1161+L1161+N1161+P1161+R1161+S1161+T1161+U1161</f>
        <v>2391730</v>
      </c>
      <c r="D1161" s="3">
        <f t="shared" ref="D1161:D1162" si="306">SUM(E1161:J1161)</f>
        <v>252230</v>
      </c>
      <c r="E1161" s="3">
        <v>0</v>
      </c>
      <c r="F1161" s="3">
        <v>0</v>
      </c>
      <c r="G1161" s="3">
        <f>300*458.6</f>
        <v>137580</v>
      </c>
      <c r="H1161" s="3">
        <f>400*0</f>
        <v>0</v>
      </c>
      <c r="I1161" s="3">
        <f>250*458.6</f>
        <v>114650</v>
      </c>
      <c r="J1161" s="3">
        <v>0</v>
      </c>
      <c r="K1161" s="4">
        <v>0</v>
      </c>
      <c r="L1161" s="3">
        <v>0</v>
      </c>
      <c r="M1161" s="3">
        <v>389</v>
      </c>
      <c r="N1161" s="3">
        <f t="shared" ref="N1161:N1162" si="307">M1161*5500</f>
        <v>2139500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6">
        <f t="shared" ref="V1161:V1162" si="308">N1161/M1161</f>
        <v>5500</v>
      </c>
    </row>
    <row r="1162" spans="1:22" ht="27" customHeight="1" x14ac:dyDescent="0.3">
      <c r="A1162" s="34" t="s">
        <v>1935</v>
      </c>
      <c r="B1162" s="49" t="s">
        <v>338</v>
      </c>
      <c r="C1162" s="2">
        <f t="shared" si="305"/>
        <v>5413840</v>
      </c>
      <c r="D1162" s="3">
        <f t="shared" si="306"/>
        <v>1651840</v>
      </c>
      <c r="E1162" s="3">
        <v>0</v>
      </c>
      <c r="F1162" s="3">
        <f>1050*1032.4</f>
        <v>1084020</v>
      </c>
      <c r="G1162" s="3">
        <f>300*1032.4</f>
        <v>309720</v>
      </c>
      <c r="H1162" s="3">
        <f>400*0</f>
        <v>0</v>
      </c>
      <c r="I1162" s="3">
        <f>250*1032.4</f>
        <v>258100.00000000003</v>
      </c>
      <c r="J1162" s="3">
        <v>0</v>
      </c>
      <c r="K1162" s="4">
        <v>0</v>
      </c>
      <c r="L1162" s="3">
        <v>0</v>
      </c>
      <c r="M1162" s="3">
        <v>684</v>
      </c>
      <c r="N1162" s="3">
        <f t="shared" si="307"/>
        <v>3762000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6">
        <f t="shared" si="308"/>
        <v>5500</v>
      </c>
    </row>
    <row r="1163" spans="1:22" ht="27" customHeight="1" x14ac:dyDescent="0.3">
      <c r="A1163" s="34" t="s">
        <v>1936</v>
      </c>
      <c r="B1163" s="49" t="s">
        <v>346</v>
      </c>
      <c r="C1163" s="2">
        <f t="shared" si="296"/>
        <v>17269211.989999998</v>
      </c>
      <c r="D1163" s="3">
        <f t="shared" si="297"/>
        <v>5708040</v>
      </c>
      <c r="E1163" s="3">
        <f>700*2195.4</f>
        <v>1536780</v>
      </c>
      <c r="F1163" s="3">
        <f>1300*2195.4</f>
        <v>2854020</v>
      </c>
      <c r="G1163" s="3">
        <f>300*2195.4</f>
        <v>658620</v>
      </c>
      <c r="H1163" s="3">
        <v>0</v>
      </c>
      <c r="I1163" s="3">
        <f>300*2195.4</f>
        <v>658620</v>
      </c>
      <c r="J1163" s="3">
        <v>0</v>
      </c>
      <c r="K1163" s="4">
        <v>0</v>
      </c>
      <c r="L1163" s="3">
        <v>0</v>
      </c>
      <c r="M1163" s="3">
        <v>921</v>
      </c>
      <c r="N1163" s="3">
        <f t="shared" ref="N1163:N1168" si="309">M1163*6600</f>
        <v>6078600</v>
      </c>
      <c r="O1163" s="3">
        <v>0</v>
      </c>
      <c r="P1163" s="3">
        <v>0</v>
      </c>
      <c r="Q1163" s="3">
        <v>1641</v>
      </c>
      <c r="R1163" s="3">
        <f t="shared" ref="R1163:R1176" si="310">Q1163*3200</f>
        <v>5251200</v>
      </c>
      <c r="S1163" s="3">
        <v>0</v>
      </c>
      <c r="T1163" s="3">
        <v>0</v>
      </c>
      <c r="U1163" s="3">
        <v>231371.99</v>
      </c>
      <c r="V1163" s="6">
        <f>N1163/M1163</f>
        <v>6600</v>
      </c>
    </row>
    <row r="1164" spans="1:22" ht="27" customHeight="1" x14ac:dyDescent="0.3">
      <c r="A1164" s="34" t="s">
        <v>1937</v>
      </c>
      <c r="B1164" s="49" t="s">
        <v>347</v>
      </c>
      <c r="C1164" s="2">
        <f t="shared" si="296"/>
        <v>17269211.989999998</v>
      </c>
      <c r="D1164" s="3">
        <f t="shared" si="297"/>
        <v>5708040</v>
      </c>
      <c r="E1164" s="3">
        <f>700*2195.4</f>
        <v>1536780</v>
      </c>
      <c r="F1164" s="3">
        <f>1300*2195.4</f>
        <v>2854020</v>
      </c>
      <c r="G1164" s="3">
        <f>300*2195.4</f>
        <v>658620</v>
      </c>
      <c r="H1164" s="3">
        <v>0</v>
      </c>
      <c r="I1164" s="3">
        <f>300*2195.4</f>
        <v>658620</v>
      </c>
      <c r="J1164" s="3">
        <v>0</v>
      </c>
      <c r="K1164" s="4">
        <v>0</v>
      </c>
      <c r="L1164" s="3">
        <v>0</v>
      </c>
      <c r="M1164" s="3">
        <v>921</v>
      </c>
      <c r="N1164" s="3">
        <f t="shared" si="309"/>
        <v>6078600</v>
      </c>
      <c r="O1164" s="3">
        <v>0</v>
      </c>
      <c r="P1164" s="3">
        <v>0</v>
      </c>
      <c r="Q1164" s="3">
        <v>1641</v>
      </c>
      <c r="R1164" s="3">
        <f t="shared" si="310"/>
        <v>5251200</v>
      </c>
      <c r="S1164" s="3">
        <v>0</v>
      </c>
      <c r="T1164" s="3">
        <v>0</v>
      </c>
      <c r="U1164" s="3">
        <v>231371.99</v>
      </c>
      <c r="V1164" s="6">
        <f>N1164/M1164</f>
        <v>6600</v>
      </c>
    </row>
    <row r="1165" spans="1:22" ht="27" customHeight="1" x14ac:dyDescent="0.3">
      <c r="A1165" s="34" t="s">
        <v>1938</v>
      </c>
      <c r="B1165" s="49" t="s">
        <v>348</v>
      </c>
      <c r="C1165" s="2">
        <f t="shared" si="296"/>
        <v>17268571.989999998</v>
      </c>
      <c r="D1165" s="3">
        <f t="shared" si="297"/>
        <v>5708040</v>
      </c>
      <c r="E1165" s="3">
        <f>700*2195.4</f>
        <v>1536780</v>
      </c>
      <c r="F1165" s="3">
        <f>1300*2195.4</f>
        <v>2854020</v>
      </c>
      <c r="G1165" s="3">
        <f>300*2195.4</f>
        <v>658620</v>
      </c>
      <c r="H1165" s="3">
        <v>0</v>
      </c>
      <c r="I1165" s="3">
        <f>300*2195.4</f>
        <v>658620</v>
      </c>
      <c r="J1165" s="3">
        <v>0</v>
      </c>
      <c r="K1165" s="4">
        <v>0</v>
      </c>
      <c r="L1165" s="3">
        <v>0</v>
      </c>
      <c r="M1165" s="3">
        <v>921</v>
      </c>
      <c r="N1165" s="3">
        <f t="shared" si="309"/>
        <v>6078600</v>
      </c>
      <c r="O1165" s="3">
        <v>0</v>
      </c>
      <c r="P1165" s="3">
        <v>0</v>
      </c>
      <c r="Q1165" s="3">
        <v>1640.8</v>
      </c>
      <c r="R1165" s="3">
        <f t="shared" si="310"/>
        <v>5250560</v>
      </c>
      <c r="S1165" s="3">
        <v>0</v>
      </c>
      <c r="T1165" s="3">
        <v>0</v>
      </c>
      <c r="U1165" s="3">
        <v>231371.99</v>
      </c>
      <c r="V1165" s="6">
        <f>N1165/M1165</f>
        <v>6600</v>
      </c>
    </row>
    <row r="1166" spans="1:22" ht="27" customHeight="1" x14ac:dyDescent="0.3">
      <c r="A1166" s="34" t="s">
        <v>1939</v>
      </c>
      <c r="B1166" s="49" t="s">
        <v>342</v>
      </c>
      <c r="C1166" s="2">
        <f t="shared" si="296"/>
        <v>6604899.3099999996</v>
      </c>
      <c r="D1166" s="3">
        <f t="shared" ref="D1166:D1176" si="311">SUM(E1166:J1166)</f>
        <v>2019899.9999999998</v>
      </c>
      <c r="E1166" s="3">
        <f>700*673.3</f>
        <v>471309.99999999994</v>
      </c>
      <c r="F1166" s="3">
        <f>1300*673.3</f>
        <v>875289.99999999988</v>
      </c>
      <c r="G1166" s="3">
        <f>300*673.3</f>
        <v>201990</v>
      </c>
      <c r="H1166" s="3">
        <f>400*673.3</f>
        <v>269320</v>
      </c>
      <c r="I1166" s="3">
        <f>300*673.3</f>
        <v>201990</v>
      </c>
      <c r="J1166" s="3">
        <v>0</v>
      </c>
      <c r="K1166" s="4">
        <v>0</v>
      </c>
      <c r="L1166" s="3">
        <v>0</v>
      </c>
      <c r="M1166" s="3">
        <v>400</v>
      </c>
      <c r="N1166" s="3">
        <f t="shared" si="309"/>
        <v>2640000</v>
      </c>
      <c r="O1166" s="3">
        <v>0</v>
      </c>
      <c r="P1166" s="3">
        <v>0</v>
      </c>
      <c r="Q1166" s="3">
        <v>564.70000000000005</v>
      </c>
      <c r="R1166" s="3">
        <f t="shared" si="310"/>
        <v>1807040.0000000002</v>
      </c>
      <c r="S1166" s="3">
        <v>0</v>
      </c>
      <c r="T1166" s="3">
        <v>0</v>
      </c>
      <c r="U1166" s="3">
        <v>137959.31</v>
      </c>
      <c r="V1166" s="6">
        <f t="shared" ref="V1166:V1176" si="312">N1166/M1166</f>
        <v>6600</v>
      </c>
    </row>
    <row r="1167" spans="1:22" ht="27" customHeight="1" x14ac:dyDescent="0.3">
      <c r="A1167" s="34" t="s">
        <v>1940</v>
      </c>
      <c r="B1167" s="49" t="s">
        <v>343</v>
      </c>
      <c r="C1167" s="2">
        <f t="shared" si="296"/>
        <v>15367551.16</v>
      </c>
      <c r="D1167" s="3">
        <f t="shared" si="311"/>
        <v>4949880</v>
      </c>
      <c r="E1167" s="3">
        <f>700*1903.8</f>
        <v>1332660</v>
      </c>
      <c r="F1167" s="3">
        <f>1300*1903.8</f>
        <v>2474940</v>
      </c>
      <c r="G1167" s="3">
        <f>300*1903.8</f>
        <v>571140</v>
      </c>
      <c r="H1167" s="3">
        <v>0</v>
      </c>
      <c r="I1167" s="3">
        <f>300*1903.8</f>
        <v>571140</v>
      </c>
      <c r="J1167" s="3">
        <v>0</v>
      </c>
      <c r="K1167" s="4">
        <v>0</v>
      </c>
      <c r="L1167" s="3">
        <v>0</v>
      </c>
      <c r="M1167" s="3">
        <v>848.7</v>
      </c>
      <c r="N1167" s="3">
        <f t="shared" si="309"/>
        <v>5601420</v>
      </c>
      <c r="O1167" s="3">
        <v>0</v>
      </c>
      <c r="P1167" s="3">
        <v>0</v>
      </c>
      <c r="Q1167" s="3">
        <v>1432.2</v>
      </c>
      <c r="R1167" s="3">
        <f t="shared" si="310"/>
        <v>4583040</v>
      </c>
      <c r="S1167" s="3">
        <v>0</v>
      </c>
      <c r="T1167" s="3">
        <v>0</v>
      </c>
      <c r="U1167" s="3">
        <v>233211.16</v>
      </c>
      <c r="V1167" s="6">
        <f t="shared" si="312"/>
        <v>6600</v>
      </c>
    </row>
    <row r="1168" spans="1:22" ht="27" customHeight="1" x14ac:dyDescent="0.3">
      <c r="A1168" s="34" t="s">
        <v>1941</v>
      </c>
      <c r="B1168" s="49" t="s">
        <v>344</v>
      </c>
      <c r="C1168" s="2">
        <f t="shared" si="296"/>
        <v>11880611.16</v>
      </c>
      <c r="D1168" s="3">
        <f t="shared" si="311"/>
        <v>3640000</v>
      </c>
      <c r="E1168" s="3">
        <f>700*1400</f>
        <v>980000</v>
      </c>
      <c r="F1168" s="3">
        <f>1300*1400</f>
        <v>1820000</v>
      </c>
      <c r="G1168" s="3">
        <f>300*1400</f>
        <v>420000</v>
      </c>
      <c r="H1168" s="3">
        <v>0</v>
      </c>
      <c r="I1168" s="3">
        <f>300*1400</f>
        <v>420000</v>
      </c>
      <c r="J1168" s="3">
        <v>0</v>
      </c>
      <c r="K1168" s="4">
        <v>0</v>
      </c>
      <c r="L1168" s="3">
        <v>0</v>
      </c>
      <c r="M1168" s="3">
        <v>800</v>
      </c>
      <c r="N1168" s="3">
        <f t="shared" si="309"/>
        <v>5280000</v>
      </c>
      <c r="O1168" s="3">
        <v>0</v>
      </c>
      <c r="P1168" s="3">
        <v>0</v>
      </c>
      <c r="Q1168" s="3">
        <v>872</v>
      </c>
      <c r="R1168" s="3">
        <f t="shared" si="310"/>
        <v>2790400</v>
      </c>
      <c r="S1168" s="3">
        <v>0</v>
      </c>
      <c r="T1168" s="3">
        <v>0</v>
      </c>
      <c r="U1168" s="3">
        <v>170211.16</v>
      </c>
      <c r="V1168" s="6">
        <f t="shared" si="312"/>
        <v>6600</v>
      </c>
    </row>
    <row r="1169" spans="1:22" ht="27" customHeight="1" x14ac:dyDescent="0.3">
      <c r="A1169" s="34" t="s">
        <v>1942</v>
      </c>
      <c r="B1169" s="49" t="s">
        <v>345</v>
      </c>
      <c r="C1169" s="2">
        <f t="shared" si="296"/>
        <v>5672203.2699999996</v>
      </c>
      <c r="D1169" s="3">
        <f t="shared" si="311"/>
        <v>2476240</v>
      </c>
      <c r="E1169" s="3">
        <f>700*952.4</f>
        <v>666680</v>
      </c>
      <c r="F1169" s="3">
        <f>1300*952.4</f>
        <v>1238120</v>
      </c>
      <c r="G1169" s="3">
        <f>300*952.4</f>
        <v>285720</v>
      </c>
      <c r="H1169" s="3">
        <v>0</v>
      </c>
      <c r="I1169" s="3">
        <f>300*952.4</f>
        <v>285720</v>
      </c>
      <c r="J1169" s="3">
        <v>0</v>
      </c>
      <c r="K1169" s="4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950</v>
      </c>
      <c r="R1169" s="3">
        <f t="shared" si="310"/>
        <v>3040000</v>
      </c>
      <c r="S1169" s="3">
        <v>0</v>
      </c>
      <c r="T1169" s="3">
        <v>0</v>
      </c>
      <c r="U1169" s="3">
        <v>155963.26999999999</v>
      </c>
      <c r="V1169" s="6" t="e">
        <f t="shared" si="312"/>
        <v>#DIV/0!</v>
      </c>
    </row>
    <row r="1170" spans="1:22" ht="27" customHeight="1" x14ac:dyDescent="0.3">
      <c r="A1170" s="34" t="s">
        <v>1943</v>
      </c>
      <c r="B1170" s="49" t="s">
        <v>349</v>
      </c>
      <c r="C1170" s="2">
        <f t="shared" si="296"/>
        <v>8368197.0700000003</v>
      </c>
      <c r="D1170" s="3">
        <f t="shared" si="311"/>
        <v>2020720</v>
      </c>
      <c r="E1170" s="3">
        <f>700*777.2</f>
        <v>544040</v>
      </c>
      <c r="F1170" s="3">
        <f>1300*777.2</f>
        <v>1010360.0000000001</v>
      </c>
      <c r="G1170" s="3">
        <f>300*777.2</f>
        <v>233160</v>
      </c>
      <c r="H1170" s="3">
        <v>0</v>
      </c>
      <c r="I1170" s="3">
        <f>300*777.2</f>
        <v>233160</v>
      </c>
      <c r="J1170" s="3">
        <v>0</v>
      </c>
      <c r="K1170" s="4">
        <v>0</v>
      </c>
      <c r="L1170" s="3">
        <v>0</v>
      </c>
      <c r="M1170" s="3">
        <v>560.29999999999995</v>
      </c>
      <c r="N1170" s="3">
        <f>M1170*6600</f>
        <v>3697979.9999999995</v>
      </c>
      <c r="O1170" s="3">
        <v>0</v>
      </c>
      <c r="P1170" s="3">
        <v>0</v>
      </c>
      <c r="Q1170" s="3">
        <v>784</v>
      </c>
      <c r="R1170" s="3">
        <f t="shared" si="310"/>
        <v>2508800</v>
      </c>
      <c r="S1170" s="3">
        <v>0</v>
      </c>
      <c r="T1170" s="3">
        <v>0</v>
      </c>
      <c r="U1170" s="3">
        <v>140697.07</v>
      </c>
      <c r="V1170" s="6">
        <f t="shared" si="312"/>
        <v>6600</v>
      </c>
    </row>
    <row r="1171" spans="1:22" ht="27" customHeight="1" x14ac:dyDescent="0.3">
      <c r="A1171" s="34" t="s">
        <v>1944</v>
      </c>
      <c r="B1171" s="49" t="s">
        <v>350</v>
      </c>
      <c r="C1171" s="2">
        <f t="shared" si="296"/>
        <v>8432434.8499999996</v>
      </c>
      <c r="D1171" s="3">
        <f t="shared" si="311"/>
        <v>2026700</v>
      </c>
      <c r="E1171" s="3">
        <f>700*779.5</f>
        <v>545650</v>
      </c>
      <c r="F1171" s="3">
        <f>1300*779.5</f>
        <v>1013350</v>
      </c>
      <c r="G1171" s="3">
        <f>300*779.5</f>
        <v>233850</v>
      </c>
      <c r="H1171" s="3">
        <v>0</v>
      </c>
      <c r="I1171" s="3">
        <f>300*779.5</f>
        <v>233850</v>
      </c>
      <c r="J1171" s="3">
        <v>0</v>
      </c>
      <c r="K1171" s="4">
        <v>0</v>
      </c>
      <c r="L1171" s="3">
        <v>0</v>
      </c>
      <c r="M1171" s="3">
        <v>569</v>
      </c>
      <c r="N1171" s="3">
        <f>M1171*6600</f>
        <v>3755400</v>
      </c>
      <c r="O1171" s="3">
        <v>0</v>
      </c>
      <c r="P1171" s="3">
        <v>0</v>
      </c>
      <c r="Q1171" s="3">
        <v>784</v>
      </c>
      <c r="R1171" s="3">
        <f t="shared" si="310"/>
        <v>2508800</v>
      </c>
      <c r="S1171" s="3">
        <v>0</v>
      </c>
      <c r="T1171" s="3">
        <v>0</v>
      </c>
      <c r="U1171" s="3">
        <v>141534.85</v>
      </c>
      <c r="V1171" s="6">
        <f t="shared" si="312"/>
        <v>6600</v>
      </c>
    </row>
    <row r="1172" spans="1:22" ht="27" customHeight="1" x14ac:dyDescent="0.3">
      <c r="A1172" s="34" t="s">
        <v>1945</v>
      </c>
      <c r="B1172" s="49" t="s">
        <v>351</v>
      </c>
      <c r="C1172" s="2">
        <f t="shared" si="296"/>
        <v>8319938.4500000002</v>
      </c>
      <c r="D1172" s="3">
        <f t="shared" si="311"/>
        <v>2026700</v>
      </c>
      <c r="E1172" s="3">
        <f>700*779.5</f>
        <v>545650</v>
      </c>
      <c r="F1172" s="3">
        <f>1300*779.5</f>
        <v>1013350</v>
      </c>
      <c r="G1172" s="3">
        <f>300*779.5</f>
        <v>233850</v>
      </c>
      <c r="H1172" s="3">
        <v>0</v>
      </c>
      <c r="I1172" s="3">
        <f>300*779.5</f>
        <v>233850</v>
      </c>
      <c r="J1172" s="3">
        <v>0</v>
      </c>
      <c r="K1172" s="4">
        <v>0</v>
      </c>
      <c r="L1172" s="3">
        <v>0</v>
      </c>
      <c r="M1172" s="3">
        <v>561.29999999999995</v>
      </c>
      <c r="N1172" s="3">
        <f>M1172*6600</f>
        <v>3704579.9999999995</v>
      </c>
      <c r="O1172" s="3">
        <v>0</v>
      </c>
      <c r="P1172" s="3">
        <v>0</v>
      </c>
      <c r="Q1172" s="3">
        <v>755</v>
      </c>
      <c r="R1172" s="3">
        <f t="shared" si="310"/>
        <v>2416000</v>
      </c>
      <c r="S1172" s="3">
        <v>0</v>
      </c>
      <c r="T1172" s="3">
        <v>0</v>
      </c>
      <c r="U1172" s="3">
        <v>172658.45</v>
      </c>
      <c r="V1172" s="6">
        <f t="shared" si="312"/>
        <v>6600</v>
      </c>
    </row>
    <row r="1173" spans="1:22" ht="27" customHeight="1" x14ac:dyDescent="0.3">
      <c r="A1173" s="34" t="s">
        <v>1946</v>
      </c>
      <c r="B1173" s="49" t="s">
        <v>352</v>
      </c>
      <c r="C1173" s="2">
        <f t="shared" si="296"/>
        <v>8292878.4500000002</v>
      </c>
      <c r="D1173" s="3">
        <f t="shared" si="311"/>
        <v>2026700</v>
      </c>
      <c r="E1173" s="3">
        <f>700*779.5</f>
        <v>545650</v>
      </c>
      <c r="F1173" s="3">
        <f>1300*779.5</f>
        <v>1013350</v>
      </c>
      <c r="G1173" s="3">
        <f>300*779.5</f>
        <v>233850</v>
      </c>
      <c r="H1173" s="3">
        <v>0</v>
      </c>
      <c r="I1173" s="3">
        <f>300*779.5</f>
        <v>233850</v>
      </c>
      <c r="J1173" s="3">
        <v>0</v>
      </c>
      <c r="K1173" s="4">
        <v>0</v>
      </c>
      <c r="L1173" s="3">
        <v>0</v>
      </c>
      <c r="M1173" s="3">
        <v>557.20000000000005</v>
      </c>
      <c r="N1173" s="3">
        <f>M1173*6600</f>
        <v>3677520.0000000005</v>
      </c>
      <c r="O1173" s="3">
        <v>0</v>
      </c>
      <c r="P1173" s="3">
        <v>0</v>
      </c>
      <c r="Q1173" s="3">
        <v>755</v>
      </c>
      <c r="R1173" s="3">
        <f t="shared" si="310"/>
        <v>2416000</v>
      </c>
      <c r="S1173" s="3">
        <v>0</v>
      </c>
      <c r="T1173" s="3">
        <v>0</v>
      </c>
      <c r="U1173" s="3">
        <v>172658.45</v>
      </c>
      <c r="V1173" s="6">
        <f t="shared" si="312"/>
        <v>6600</v>
      </c>
    </row>
    <row r="1174" spans="1:22" ht="27" customHeight="1" x14ac:dyDescent="0.3">
      <c r="A1174" s="34" t="s">
        <v>1947</v>
      </c>
      <c r="B1174" s="62" t="s">
        <v>993</v>
      </c>
      <c r="C1174" s="2">
        <f>D1174+L1174+N1174+P1174+R1174+S1174+T1174+U1174</f>
        <v>5216000</v>
      </c>
      <c r="D1174" s="3">
        <f>SUM(E1174:J1174)</f>
        <v>0</v>
      </c>
      <c r="E1174" s="3">
        <v>0</v>
      </c>
      <c r="F1174" s="3">
        <v>0</v>
      </c>
      <c r="G1174" s="3">
        <v>0</v>
      </c>
      <c r="H1174" s="3">
        <v>0</v>
      </c>
      <c r="I1174" s="3">
        <v>0</v>
      </c>
      <c r="J1174" s="3">
        <v>0</v>
      </c>
      <c r="K1174" s="4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63">
        <v>1630</v>
      </c>
      <c r="R1174" s="32">
        <f>Q1174*3200</f>
        <v>5216000</v>
      </c>
      <c r="S1174" s="3">
        <v>0</v>
      </c>
      <c r="T1174" s="3">
        <v>0</v>
      </c>
      <c r="U1174" s="3">
        <v>0</v>
      </c>
      <c r="V1174" s="6" t="e">
        <f>N1174/M1174</f>
        <v>#DIV/0!</v>
      </c>
    </row>
    <row r="1175" spans="1:22" ht="27" customHeight="1" x14ac:dyDescent="0.3">
      <c r="A1175" s="34" t="s">
        <v>1948</v>
      </c>
      <c r="B1175" s="62" t="s">
        <v>1810</v>
      </c>
      <c r="C1175" s="2">
        <f>D1175+L1175+N1175+P1175+R1175+S1175+T1175+U1175</f>
        <v>23896100</v>
      </c>
      <c r="D1175" s="3">
        <f>SUM(E1175:J1175)</f>
        <v>23696100</v>
      </c>
      <c r="E1175" s="3">
        <f>700*7898.7</f>
        <v>5529090</v>
      </c>
      <c r="F1175" s="3">
        <f>1300*7898.7</f>
        <v>10268310</v>
      </c>
      <c r="G1175" s="3">
        <f>300*7898.7</f>
        <v>2369610</v>
      </c>
      <c r="H1175" s="3">
        <f>400*7898.7</f>
        <v>3159480</v>
      </c>
      <c r="I1175" s="3">
        <f>300*7898.7</f>
        <v>2369610</v>
      </c>
      <c r="J1175" s="3">
        <v>0</v>
      </c>
      <c r="K1175" s="4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63">
        <v>0</v>
      </c>
      <c r="R1175" s="32">
        <v>0</v>
      </c>
      <c r="S1175" s="3">
        <v>0</v>
      </c>
      <c r="T1175" s="3">
        <v>0</v>
      </c>
      <c r="U1175" s="3">
        <v>200000</v>
      </c>
      <c r="V1175" s="6" t="e">
        <f>N1175/M1175</f>
        <v>#DIV/0!</v>
      </c>
    </row>
    <row r="1176" spans="1:22" ht="27" customHeight="1" x14ac:dyDescent="0.3">
      <c r="A1176" s="34" t="s">
        <v>1949</v>
      </c>
      <c r="B1176" s="49" t="s">
        <v>353</v>
      </c>
      <c r="C1176" s="2">
        <f t="shared" si="296"/>
        <v>5983087.7999999998</v>
      </c>
      <c r="D1176" s="3">
        <f t="shared" si="311"/>
        <v>1279460</v>
      </c>
      <c r="E1176" s="3">
        <f>700*492.1</f>
        <v>344470</v>
      </c>
      <c r="F1176" s="3">
        <f>1300*492.1</f>
        <v>639730</v>
      </c>
      <c r="G1176" s="3">
        <f>300*492.1</f>
        <v>147630</v>
      </c>
      <c r="H1176" s="3">
        <v>0</v>
      </c>
      <c r="I1176" s="3">
        <f>300*492.1</f>
        <v>147630</v>
      </c>
      <c r="J1176" s="3">
        <v>0</v>
      </c>
      <c r="K1176" s="4">
        <v>0</v>
      </c>
      <c r="L1176" s="3">
        <v>0</v>
      </c>
      <c r="M1176" s="3">
        <v>405.85</v>
      </c>
      <c r="N1176" s="3">
        <f>M1176*6600</f>
        <v>2678610</v>
      </c>
      <c r="O1176" s="3">
        <v>0</v>
      </c>
      <c r="P1176" s="3">
        <v>0</v>
      </c>
      <c r="Q1176" s="3">
        <v>585</v>
      </c>
      <c r="R1176" s="3">
        <f t="shared" si="310"/>
        <v>1872000</v>
      </c>
      <c r="S1176" s="3">
        <v>0</v>
      </c>
      <c r="T1176" s="3">
        <v>0</v>
      </c>
      <c r="U1176" s="3">
        <v>153017.79999999999</v>
      </c>
      <c r="V1176" s="6">
        <f t="shared" si="312"/>
        <v>6600</v>
      </c>
    </row>
    <row r="1177" spans="1:22" ht="45" customHeight="1" x14ac:dyDescent="0.3">
      <c r="A1177" s="45" t="s">
        <v>931</v>
      </c>
      <c r="B1177" s="45"/>
      <c r="C1177" s="2">
        <f>SUM(C1178:C1180)</f>
        <v>8914400</v>
      </c>
      <c r="D1177" s="2">
        <f t="shared" ref="D1177:U1177" si="313">SUM(D1178:D1180)</f>
        <v>0</v>
      </c>
      <c r="E1177" s="2">
        <f t="shared" si="313"/>
        <v>0</v>
      </c>
      <c r="F1177" s="2">
        <f t="shared" si="313"/>
        <v>0</v>
      </c>
      <c r="G1177" s="2">
        <f t="shared" si="313"/>
        <v>0</v>
      </c>
      <c r="H1177" s="2">
        <f t="shared" si="313"/>
        <v>0</v>
      </c>
      <c r="I1177" s="2">
        <f t="shared" si="313"/>
        <v>0</v>
      </c>
      <c r="J1177" s="2">
        <f t="shared" si="313"/>
        <v>0</v>
      </c>
      <c r="K1177" s="38">
        <f t="shared" si="313"/>
        <v>0</v>
      </c>
      <c r="L1177" s="2">
        <f t="shared" si="313"/>
        <v>0</v>
      </c>
      <c r="M1177" s="2">
        <f t="shared" si="313"/>
        <v>912</v>
      </c>
      <c r="N1177" s="2">
        <f t="shared" si="313"/>
        <v>4058400</v>
      </c>
      <c r="O1177" s="2">
        <f t="shared" si="313"/>
        <v>0</v>
      </c>
      <c r="P1177" s="2">
        <f t="shared" si="313"/>
        <v>0</v>
      </c>
      <c r="Q1177" s="2">
        <f t="shared" si="313"/>
        <v>1330</v>
      </c>
      <c r="R1177" s="2">
        <f t="shared" si="313"/>
        <v>4256000</v>
      </c>
      <c r="S1177" s="2">
        <f t="shared" si="313"/>
        <v>0</v>
      </c>
      <c r="T1177" s="2">
        <f t="shared" si="313"/>
        <v>0</v>
      </c>
      <c r="U1177" s="2">
        <f t="shared" si="313"/>
        <v>600000</v>
      </c>
      <c r="V1177" s="44">
        <f>C1177</f>
        <v>8914400</v>
      </c>
    </row>
    <row r="1178" spans="1:22" ht="25.2" customHeight="1" x14ac:dyDescent="0.3">
      <c r="A1178" s="34" t="s">
        <v>1950</v>
      </c>
      <c r="B1178" s="49" t="s">
        <v>992</v>
      </c>
      <c r="C1178" s="2">
        <f>D1178+L1178+N1178+P1178+R1178+S1178+T1178+U1178</f>
        <v>300000</v>
      </c>
      <c r="D1178" s="3">
        <f>SUM(E1178:J1178)</f>
        <v>0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4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f>Q1178*3200</f>
        <v>0</v>
      </c>
      <c r="S1178" s="3">
        <v>0</v>
      </c>
      <c r="T1178" s="3">
        <v>0</v>
      </c>
      <c r="U1178" s="3">
        <v>300000</v>
      </c>
      <c r="V1178" s="44"/>
    </row>
    <row r="1179" spans="1:22" ht="25.2" customHeight="1" x14ac:dyDescent="0.3">
      <c r="A1179" s="34" t="s">
        <v>1951</v>
      </c>
      <c r="B1179" s="49" t="s">
        <v>932</v>
      </c>
      <c r="C1179" s="2">
        <f>D1179+L1179+N1179+P1179+R1179+S1179+T1179+U1179</f>
        <v>8314400</v>
      </c>
      <c r="D1179" s="3">
        <f>SUM(E1179:J1179)</f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4">
        <v>0</v>
      </c>
      <c r="L1179" s="3">
        <v>0</v>
      </c>
      <c r="M1179" s="3">
        <v>912</v>
      </c>
      <c r="N1179" s="3">
        <f>M1179*4450</f>
        <v>4058400</v>
      </c>
      <c r="O1179" s="3">
        <v>0</v>
      </c>
      <c r="P1179" s="3">
        <v>0</v>
      </c>
      <c r="Q1179" s="3">
        <v>1330</v>
      </c>
      <c r="R1179" s="3">
        <f>Q1179*3200</f>
        <v>4256000</v>
      </c>
      <c r="S1179" s="3">
        <v>0</v>
      </c>
      <c r="T1179" s="3">
        <v>0</v>
      </c>
      <c r="U1179" s="3">
        <v>0</v>
      </c>
      <c r="V1179" s="6">
        <f>N1179/M1179</f>
        <v>4450</v>
      </c>
    </row>
    <row r="1180" spans="1:22" ht="25.2" customHeight="1" x14ac:dyDescent="0.3">
      <c r="A1180" s="34" t="s">
        <v>1952</v>
      </c>
      <c r="B1180" s="49" t="s">
        <v>991</v>
      </c>
      <c r="C1180" s="2">
        <f>D1180+L1180+N1180+P1180+R1180+S1180+T1180+U1180</f>
        <v>300000</v>
      </c>
      <c r="D1180" s="3">
        <f>SUM(E1180:J1180)</f>
        <v>0</v>
      </c>
      <c r="E1180" s="3">
        <v>0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4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f>Q1180*3200</f>
        <v>0</v>
      </c>
      <c r="S1180" s="3">
        <v>0</v>
      </c>
      <c r="T1180" s="3">
        <v>0</v>
      </c>
      <c r="U1180" s="3">
        <v>300000</v>
      </c>
    </row>
    <row r="1181" spans="1:22" ht="45" customHeight="1" x14ac:dyDescent="0.3">
      <c r="A1181" s="45" t="s">
        <v>356</v>
      </c>
      <c r="B1181" s="45"/>
      <c r="C1181" s="2">
        <f>SUM(C1182)</f>
        <v>3109600</v>
      </c>
      <c r="D1181" s="2">
        <f t="shared" ref="D1181:U1181" si="314">SUM(D1182)</f>
        <v>0</v>
      </c>
      <c r="E1181" s="2">
        <f t="shared" si="314"/>
        <v>0</v>
      </c>
      <c r="F1181" s="2">
        <f t="shared" si="314"/>
        <v>0</v>
      </c>
      <c r="G1181" s="2">
        <f t="shared" si="314"/>
        <v>0</v>
      </c>
      <c r="H1181" s="2">
        <f t="shared" si="314"/>
        <v>0</v>
      </c>
      <c r="I1181" s="2">
        <f t="shared" si="314"/>
        <v>0</v>
      </c>
      <c r="J1181" s="2">
        <f t="shared" si="314"/>
        <v>0</v>
      </c>
      <c r="K1181" s="38">
        <f t="shared" si="314"/>
        <v>0</v>
      </c>
      <c r="L1181" s="2">
        <f t="shared" si="314"/>
        <v>0</v>
      </c>
      <c r="M1181" s="2">
        <f t="shared" si="314"/>
        <v>280</v>
      </c>
      <c r="N1181" s="2">
        <f t="shared" si="314"/>
        <v>1848000</v>
      </c>
      <c r="O1181" s="2">
        <f t="shared" si="314"/>
        <v>0</v>
      </c>
      <c r="P1181" s="2">
        <f t="shared" si="314"/>
        <v>0</v>
      </c>
      <c r="Q1181" s="2">
        <f t="shared" si="314"/>
        <v>363</v>
      </c>
      <c r="R1181" s="2">
        <f t="shared" si="314"/>
        <v>1161600</v>
      </c>
      <c r="S1181" s="2">
        <f t="shared" si="314"/>
        <v>0</v>
      </c>
      <c r="T1181" s="2">
        <f t="shared" si="314"/>
        <v>0</v>
      </c>
      <c r="U1181" s="2">
        <f t="shared" si="314"/>
        <v>100000</v>
      </c>
      <c r="V1181" s="44">
        <f>C1181</f>
        <v>3109600</v>
      </c>
    </row>
    <row r="1182" spans="1:22" ht="25.2" customHeight="1" x14ac:dyDescent="0.3">
      <c r="A1182" s="46" t="s">
        <v>1953</v>
      </c>
      <c r="B1182" s="49" t="s">
        <v>1176</v>
      </c>
      <c r="C1182" s="2">
        <f>D1182+L1182+N1182+P1182+R1182+S1182+T1182+U1182</f>
        <v>3109600</v>
      </c>
      <c r="D1182" s="3">
        <f>SUM(E1182:J1182)</f>
        <v>0</v>
      </c>
      <c r="E1182" s="3">
        <v>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4">
        <v>0</v>
      </c>
      <c r="L1182" s="3">
        <v>0</v>
      </c>
      <c r="M1182" s="3">
        <v>280</v>
      </c>
      <c r="N1182" s="3">
        <f>M1182*6600</f>
        <v>1848000</v>
      </c>
      <c r="O1182" s="3">
        <v>0</v>
      </c>
      <c r="P1182" s="3">
        <v>0</v>
      </c>
      <c r="Q1182" s="3">
        <v>363</v>
      </c>
      <c r="R1182" s="3">
        <f>Q1182*3200</f>
        <v>1161600</v>
      </c>
      <c r="S1182" s="3">
        <v>0</v>
      </c>
      <c r="T1182" s="3">
        <v>0</v>
      </c>
      <c r="U1182" s="3">
        <v>100000</v>
      </c>
      <c r="V1182" s="6">
        <f>N1182/M1182</f>
        <v>6600</v>
      </c>
    </row>
    <row r="1183" spans="1:22" ht="45" customHeight="1" x14ac:dyDescent="0.3">
      <c r="A1183" s="45" t="s">
        <v>357</v>
      </c>
      <c r="B1183" s="45"/>
      <c r="C1183" s="2">
        <f>SUM(C1184)</f>
        <v>3133400</v>
      </c>
      <c r="D1183" s="2">
        <f t="shared" ref="D1183:U1183" si="315">SUM(D1184)</f>
        <v>0</v>
      </c>
      <c r="E1183" s="2">
        <f t="shared" si="315"/>
        <v>0</v>
      </c>
      <c r="F1183" s="2">
        <f t="shared" si="315"/>
        <v>0</v>
      </c>
      <c r="G1183" s="2">
        <f t="shared" si="315"/>
        <v>0</v>
      </c>
      <c r="H1183" s="2">
        <f t="shared" si="315"/>
        <v>0</v>
      </c>
      <c r="I1183" s="2">
        <f t="shared" si="315"/>
        <v>0</v>
      </c>
      <c r="J1183" s="2">
        <f t="shared" si="315"/>
        <v>0</v>
      </c>
      <c r="K1183" s="38">
        <f t="shared" si="315"/>
        <v>0</v>
      </c>
      <c r="L1183" s="2">
        <f t="shared" si="315"/>
        <v>0</v>
      </c>
      <c r="M1183" s="2">
        <f t="shared" si="315"/>
        <v>255</v>
      </c>
      <c r="N1183" s="2">
        <f t="shared" si="315"/>
        <v>1683000</v>
      </c>
      <c r="O1183" s="2">
        <f t="shared" si="315"/>
        <v>0</v>
      </c>
      <c r="P1183" s="2">
        <f t="shared" si="315"/>
        <v>0</v>
      </c>
      <c r="Q1183" s="2">
        <f t="shared" si="315"/>
        <v>422</v>
      </c>
      <c r="R1183" s="2">
        <f t="shared" si="315"/>
        <v>1350400</v>
      </c>
      <c r="S1183" s="2">
        <f t="shared" si="315"/>
        <v>0</v>
      </c>
      <c r="T1183" s="2">
        <f t="shared" si="315"/>
        <v>0</v>
      </c>
      <c r="U1183" s="2">
        <f t="shared" si="315"/>
        <v>100000</v>
      </c>
      <c r="V1183" s="44">
        <f>C1183</f>
        <v>3133400</v>
      </c>
    </row>
    <row r="1184" spans="1:22" ht="25.2" customHeight="1" x14ac:dyDescent="0.3">
      <c r="A1184" s="46" t="s">
        <v>2016</v>
      </c>
      <c r="B1184" s="49" t="s">
        <v>355</v>
      </c>
      <c r="C1184" s="2">
        <f>D1184+L1184+N1184+P1184+R1184+S1184+T1184+U1184</f>
        <v>3133400</v>
      </c>
      <c r="D1184" s="3">
        <f>SUM(E1184:J1184)</f>
        <v>0</v>
      </c>
      <c r="E1184" s="3">
        <v>0</v>
      </c>
      <c r="F1184" s="3">
        <f>1050*0</f>
        <v>0</v>
      </c>
      <c r="G1184" s="3">
        <f>350*0</f>
        <v>0</v>
      </c>
      <c r="H1184" s="3">
        <f>400*0</f>
        <v>0</v>
      </c>
      <c r="I1184" s="3">
        <f>250*0</f>
        <v>0</v>
      </c>
      <c r="J1184" s="3">
        <v>0</v>
      </c>
      <c r="K1184" s="4">
        <v>0</v>
      </c>
      <c r="L1184" s="3">
        <v>0</v>
      </c>
      <c r="M1184" s="3">
        <v>255</v>
      </c>
      <c r="N1184" s="3">
        <f>M1184*6600</f>
        <v>1683000</v>
      </c>
      <c r="O1184" s="3">
        <v>0</v>
      </c>
      <c r="P1184" s="3">
        <v>0</v>
      </c>
      <c r="Q1184" s="3">
        <v>422</v>
      </c>
      <c r="R1184" s="3">
        <f>Q1184*3200</f>
        <v>1350400</v>
      </c>
      <c r="S1184" s="3">
        <v>0</v>
      </c>
      <c r="T1184" s="3">
        <v>0</v>
      </c>
      <c r="U1184" s="3">
        <v>100000</v>
      </c>
      <c r="V1184" s="6">
        <f>N1184/M1184</f>
        <v>6600</v>
      </c>
    </row>
    <row r="1185" spans="1:21" ht="15.75" x14ac:dyDescent="0.25">
      <c r="A1185" s="74"/>
      <c r="B1185" s="7"/>
      <c r="C1185" s="39"/>
      <c r="D1185" s="7"/>
      <c r="E1185" s="7"/>
      <c r="F1185" s="7"/>
      <c r="G1185" s="7"/>
      <c r="H1185" s="7"/>
      <c r="I1185" s="7"/>
      <c r="J1185" s="7"/>
      <c r="K1185" s="75"/>
      <c r="L1185" s="7"/>
      <c r="M1185" s="7"/>
      <c r="N1185" s="7"/>
      <c r="O1185" s="39"/>
      <c r="P1185" s="39"/>
      <c r="Q1185" s="39"/>
      <c r="R1185" s="39"/>
      <c r="S1185" s="39"/>
      <c r="T1185" s="39"/>
      <c r="U1185" s="39"/>
    </row>
    <row r="1186" spans="1:21" x14ac:dyDescent="0.3">
      <c r="A1186" s="74"/>
      <c r="B1186" s="7"/>
      <c r="C1186" s="7"/>
      <c r="D1186" s="7"/>
      <c r="E1186" s="7"/>
      <c r="F1186" s="7"/>
      <c r="G1186" s="7"/>
      <c r="H1186" s="7"/>
      <c r="I1186" s="7"/>
      <c r="J1186" s="7"/>
      <c r="K1186" s="75"/>
      <c r="L1186" s="7"/>
      <c r="M1186" s="7"/>
      <c r="N1186" s="7"/>
      <c r="O1186" s="39"/>
      <c r="P1186" s="39"/>
      <c r="Q1186" s="39"/>
      <c r="R1186" s="39"/>
      <c r="S1186" s="39"/>
      <c r="T1186" s="39"/>
      <c r="U1186" s="39"/>
    </row>
  </sheetData>
  <sortState ref="A616:IX625">
    <sortCondition ref="B616:B625"/>
  </sortState>
  <mergeCells count="161">
    <mergeCell ref="A1183:B1183"/>
    <mergeCell ref="A26:B26"/>
    <mergeCell ref="A116:B116"/>
    <mergeCell ref="A1147:B1147"/>
    <mergeCell ref="A775:B775"/>
    <mergeCell ref="A1115:B1115"/>
    <mergeCell ref="A1127:B1127"/>
    <mergeCell ref="A1112:B1112"/>
    <mergeCell ref="A1145:B1145"/>
    <mergeCell ref="A1181:B1181"/>
    <mergeCell ref="A1151:B1151"/>
    <mergeCell ref="A1129:B1129"/>
    <mergeCell ref="A1134:B1134"/>
    <mergeCell ref="A854:B854"/>
    <mergeCell ref="A859:B859"/>
    <mergeCell ref="A1141:B1141"/>
    <mergeCell ref="A683:B683"/>
    <mergeCell ref="A827:B827"/>
    <mergeCell ref="A808:B808"/>
    <mergeCell ref="A788:B788"/>
    <mergeCell ref="A721:B721"/>
    <mergeCell ref="A818:B818"/>
    <mergeCell ref="A764:B764"/>
    <mergeCell ref="A1136:B1136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117:B1117"/>
    <mergeCell ref="A1177:B1177"/>
    <mergeCell ref="A1149:B1149"/>
    <mergeCell ref="A777:B777"/>
    <mergeCell ref="A727:B727"/>
    <mergeCell ref="A754:B754"/>
    <mergeCell ref="A1110:B1110"/>
    <mergeCell ref="A746:B746"/>
    <mergeCell ref="A1138:B1138"/>
    <mergeCell ref="A784:B784"/>
    <mergeCell ref="A1103:B1103"/>
    <mergeCell ref="A831:B831"/>
    <mergeCell ref="A851:B851"/>
    <mergeCell ref="A1107:B1107"/>
    <mergeCell ref="A1121:B1121"/>
    <mergeCell ref="A772:B772"/>
    <mergeCell ref="A768:B768"/>
    <mergeCell ref="A1105:B1105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37:B737"/>
    <mergeCell ref="A715:B715"/>
    <mergeCell ref="A343:B343"/>
    <mergeCell ref="A257:B257"/>
    <mergeCell ref="A285:B285"/>
    <mergeCell ref="A719:B719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57:B57"/>
    <mergeCell ref="A53:B53"/>
    <mergeCell ref="A55:B55"/>
    <mergeCell ref="C3:C5"/>
    <mergeCell ref="A43:B43"/>
    <mergeCell ref="D3:S3"/>
    <mergeCell ref="A762:B762"/>
    <mergeCell ref="A748:B748"/>
    <mergeCell ref="A423:B423"/>
    <mergeCell ref="A710:B710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309:B309"/>
    <mergeCell ref="A756:B756"/>
    <mergeCell ref="A786:B786"/>
    <mergeCell ref="A849:B849"/>
    <mergeCell ref="A766:B766"/>
    <mergeCell ref="A857:B857"/>
    <mergeCell ref="A733:B733"/>
    <mergeCell ref="A806:B806"/>
    <mergeCell ref="A770:B770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  <mergeCell ref="A741:B741"/>
    <mergeCell ref="A735:B735"/>
    <mergeCell ref="A712:B712"/>
    <mergeCell ref="A725:B725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8" firstPageNumber="3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Sivakova_OV</cp:lastModifiedBy>
  <cp:lastPrinted>2022-08-01T13:23:03Z</cp:lastPrinted>
  <dcterms:created xsi:type="dcterms:W3CDTF">2012-12-13T11:50:40Z</dcterms:created>
  <dcterms:modified xsi:type="dcterms:W3CDTF">2022-08-01T13:24:47Z</dcterms:modified>
</cp:coreProperties>
</file>